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edson\LICITAÇÕES\LICITAÇÃO 2020\PLANILHAS DE OBRAS DA PREFEITURA\PORTICO DE ENTRADA DE NOVORIZONTE\"/>
    </mc:Choice>
  </mc:AlternateContent>
  <bookViews>
    <workbookView xWindow="-120" yWindow="-120" windowWidth="20730" windowHeight="11760" tabRatio="601"/>
  </bookViews>
  <sheets>
    <sheet name="Planilia Atualizada" sheetId="8" r:id="rId1"/>
    <sheet name="MEMÓRIA DE CÁLCULO" sheetId="10" r:id="rId2"/>
    <sheet name="CRONOG ATUAL" sheetId="9" r:id="rId3"/>
  </sheets>
  <externalReferences>
    <externalReference r:id="rId4"/>
  </externalReferences>
  <definedNames>
    <definedName name="_xlnm.Print_Area" localSheetId="2">'CRONOG ATUAL'!$A$1:$M$54</definedName>
    <definedName name="_xlnm.Print_Area" localSheetId="0">'Planilia Atualizada'!$A$1:$H$75</definedName>
    <definedName name="_xlnm.Print_Titles" localSheetId="0">'Planilia Atualizada'!$3:$5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4" i="9" l="1"/>
  <c r="B26" i="9"/>
  <c r="E51" i="8"/>
  <c r="F26" i="9"/>
  <c r="G26" i="9" s="1"/>
  <c r="M27" i="9"/>
  <c r="O27" i="9"/>
  <c r="D29" i="10"/>
  <c r="A29" i="10"/>
  <c r="A28" i="10"/>
  <c r="G51" i="8"/>
  <c r="H51" i="8" l="1"/>
  <c r="H52" i="8" s="1"/>
  <c r="F24" i="9" s="1"/>
  <c r="H24" i="9" s="1"/>
  <c r="M26" i="9"/>
  <c r="K26" i="9"/>
  <c r="I26" i="9"/>
  <c r="H26" i="9"/>
  <c r="L26" i="9"/>
  <c r="E63" i="8"/>
  <c r="E64" i="8"/>
  <c r="E65" i="8"/>
  <c r="E66" i="8"/>
  <c r="I40" i="10"/>
  <c r="I39" i="10"/>
  <c r="I38" i="10"/>
  <c r="E62" i="8"/>
  <c r="I37" i="10"/>
  <c r="E59" i="8"/>
  <c r="I35" i="10"/>
  <c r="E55" i="8"/>
  <c r="E56" i="8"/>
  <c r="E54" i="8"/>
  <c r="I33" i="10"/>
  <c r="I32" i="10"/>
  <c r="I31" i="10"/>
  <c r="E36" i="8"/>
  <c r="I27" i="10"/>
  <c r="E33" i="8"/>
  <c r="E32" i="8"/>
  <c r="I25" i="10"/>
  <c r="I24" i="10"/>
  <c r="E29" i="8"/>
  <c r="E28" i="8"/>
  <c r="E27" i="8"/>
  <c r="E26" i="8"/>
  <c r="I22" i="10"/>
  <c r="I20" i="10"/>
  <c r="I21" i="10"/>
  <c r="I19" i="10"/>
  <c r="E19" i="8"/>
  <c r="E20" i="8"/>
  <c r="E21" i="8"/>
  <c r="E22" i="8"/>
  <c r="E23" i="8"/>
  <c r="E18" i="8"/>
  <c r="I17" i="10"/>
  <c r="I16" i="10"/>
  <c r="I15" i="10"/>
  <c r="I14" i="10"/>
  <c r="I13" i="10"/>
  <c r="I12" i="10"/>
  <c r="E14" i="8"/>
  <c r="E15" i="8"/>
  <c r="E13" i="8"/>
  <c r="I10" i="10"/>
  <c r="I9" i="10"/>
  <c r="I8" i="10"/>
  <c r="E8" i="8"/>
  <c r="E9" i="8"/>
  <c r="E10" i="8"/>
  <c r="E7" i="8"/>
  <c r="I6" i="10"/>
  <c r="I5" i="10"/>
  <c r="I4" i="10"/>
  <c r="A51" i="9"/>
  <c r="B20" i="9"/>
  <c r="B14" i="9"/>
  <c r="B12" i="9"/>
  <c r="B10" i="9"/>
  <c r="B8" i="9"/>
  <c r="B6" i="9"/>
  <c r="A40" i="10"/>
  <c r="A41" i="10"/>
  <c r="D41" i="10"/>
  <c r="D40" i="10"/>
  <c r="D38" i="10"/>
  <c r="D39" i="10"/>
  <c r="D37" i="10"/>
  <c r="A38" i="10"/>
  <c r="A39" i="10"/>
  <c r="A37" i="10"/>
  <c r="A36" i="10"/>
  <c r="D35" i="10"/>
  <c r="A35" i="10"/>
  <c r="A34" i="10"/>
  <c r="D33" i="10"/>
  <c r="D32" i="10"/>
  <c r="D31" i="10"/>
  <c r="A32" i="10"/>
  <c r="A33" i="10"/>
  <c r="A31" i="10"/>
  <c r="A30" i="10"/>
  <c r="D27" i="10"/>
  <c r="A27" i="10"/>
  <c r="A26" i="10"/>
  <c r="D25" i="10"/>
  <c r="D24" i="10"/>
  <c r="A25" i="10"/>
  <c r="A24" i="10"/>
  <c r="A23" i="10"/>
  <c r="D20" i="10"/>
  <c r="D21" i="10"/>
  <c r="D22" i="10"/>
  <c r="D19" i="10"/>
  <c r="A20" i="10"/>
  <c r="A21" i="10"/>
  <c r="A22" i="10"/>
  <c r="A19" i="10"/>
  <c r="A18" i="10"/>
  <c r="D13" i="10"/>
  <c r="D14" i="10"/>
  <c r="D15" i="10"/>
  <c r="D16" i="10"/>
  <c r="D17" i="10"/>
  <c r="D12" i="10"/>
  <c r="A13" i="10"/>
  <c r="A14" i="10"/>
  <c r="A15" i="10"/>
  <c r="A16" i="10"/>
  <c r="A17" i="10"/>
  <c r="A12" i="10"/>
  <c r="D8" i="10"/>
  <c r="D9" i="10"/>
  <c r="D10" i="10"/>
  <c r="A11" i="10"/>
  <c r="A8" i="10"/>
  <c r="A9" i="10"/>
  <c r="A10" i="10"/>
  <c r="A7" i="10"/>
  <c r="A2" i="10"/>
  <c r="D6" i="10"/>
  <c r="D4" i="10"/>
  <c r="D5" i="10"/>
  <c r="D3" i="10"/>
  <c r="A6" i="10"/>
  <c r="A4" i="10"/>
  <c r="A5" i="10"/>
  <c r="A3" i="10"/>
  <c r="A43" i="10"/>
  <c r="A71" i="8" s="1"/>
  <c r="A48" i="9" s="1"/>
  <c r="I24" i="9" l="1"/>
  <c r="G24" i="9"/>
  <c r="M24" i="9"/>
  <c r="M44" i="9" s="1"/>
  <c r="G8" i="8"/>
  <c r="G9" i="8"/>
  <c r="M4" i="9"/>
  <c r="M29" i="9"/>
  <c r="M31" i="9"/>
  <c r="M33" i="9"/>
  <c r="M32" i="9" s="1"/>
  <c r="M35" i="9"/>
  <c r="M34" i="9" s="1"/>
  <c r="M37" i="9"/>
  <c r="M36" i="9" s="1"/>
  <c r="M39" i="9"/>
  <c r="M38" i="9" s="1"/>
  <c r="M41" i="9"/>
  <c r="M40" i="9" s="1"/>
  <c r="M43" i="9"/>
  <c r="M42" i="9" s="1"/>
  <c r="L16" i="9"/>
  <c r="L18" i="9"/>
  <c r="L32" i="9"/>
  <c r="L34" i="9"/>
  <c r="L36" i="9"/>
  <c r="L38" i="9"/>
  <c r="K32" i="9"/>
  <c r="K34" i="9"/>
  <c r="K36" i="9"/>
  <c r="K38" i="9"/>
  <c r="K40" i="9"/>
  <c r="K42" i="9"/>
  <c r="I32" i="9"/>
  <c r="I34" i="9"/>
  <c r="H32" i="9"/>
  <c r="H34" i="9"/>
  <c r="G32" i="9"/>
  <c r="G34" i="9"/>
  <c r="B30" i="9"/>
  <c r="B28" i="9"/>
  <c r="F27" i="8"/>
  <c r="G7" i="8"/>
  <c r="H7" i="8" s="1"/>
  <c r="H8" i="8" l="1"/>
  <c r="H9" i="8"/>
  <c r="G15" i="8" l="1"/>
  <c r="G59" i="8"/>
  <c r="G43" i="8"/>
  <c r="H43" i="8" s="1"/>
  <c r="H59" i="8" l="1"/>
  <c r="H60" i="8" s="1"/>
  <c r="F28" i="9" s="1"/>
  <c r="H15" i="8"/>
  <c r="K28" i="9" l="1"/>
  <c r="M28" i="9"/>
  <c r="G28" i="9"/>
  <c r="L28" i="9"/>
  <c r="I28" i="9"/>
  <c r="H28" i="9"/>
  <c r="G63" i="8"/>
  <c r="H63" i="8" s="1"/>
  <c r="G64" i="8"/>
  <c r="H64" i="8" s="1"/>
  <c r="G65" i="8"/>
  <c r="H65" i="8" s="1"/>
  <c r="G62" i="8"/>
  <c r="F28" i="8"/>
  <c r="H62" i="8" l="1"/>
  <c r="D39" i="8"/>
  <c r="F29" i="8" l="1"/>
  <c r="C20" i="8"/>
  <c r="B20" i="8"/>
  <c r="G46" i="8" l="1"/>
  <c r="H46" i="8" s="1"/>
  <c r="P3" i="9" l="1"/>
  <c r="P2" i="9"/>
  <c r="G10" i="8" l="1"/>
  <c r="G13" i="8"/>
  <c r="G14" i="8"/>
  <c r="G18" i="8"/>
  <c r="G19" i="8"/>
  <c r="G20" i="8"/>
  <c r="G21" i="8"/>
  <c r="G22" i="8"/>
  <c r="G23" i="8"/>
  <c r="G26" i="8"/>
  <c r="G27" i="8"/>
  <c r="G32" i="8"/>
  <c r="G33" i="8"/>
  <c r="G36" i="8"/>
  <c r="G39" i="8"/>
  <c r="G40" i="8"/>
  <c r="G41" i="8"/>
  <c r="G42" i="8"/>
  <c r="G44" i="8"/>
  <c r="G45" i="8"/>
  <c r="G54" i="8"/>
  <c r="G55" i="8"/>
  <c r="G56" i="8"/>
  <c r="G66" i="8"/>
  <c r="B3" i="9" l="1"/>
  <c r="B4" i="9"/>
  <c r="H66" i="8"/>
  <c r="B28" i="8"/>
  <c r="G28" i="8"/>
  <c r="C28" i="8"/>
  <c r="M9" i="9" l="1"/>
  <c r="L40" i="9"/>
  <c r="L42" i="9"/>
  <c r="M23" i="9"/>
  <c r="M15" i="9"/>
  <c r="M11" i="9"/>
  <c r="I42" i="9"/>
  <c r="H42" i="9"/>
  <c r="G42" i="9"/>
  <c r="I40" i="9"/>
  <c r="H40" i="9"/>
  <c r="G40" i="9"/>
  <c r="I38" i="9"/>
  <c r="H38" i="9"/>
  <c r="G38" i="9"/>
  <c r="I36" i="9"/>
  <c r="H36" i="9"/>
  <c r="G36" i="9"/>
  <c r="B22" i="9"/>
  <c r="M21" i="9"/>
  <c r="M7" i="9"/>
  <c r="A4" i="9"/>
  <c r="M3" i="9"/>
  <c r="A3" i="9"/>
  <c r="E48" i="8" l="1"/>
  <c r="G29" i="8"/>
  <c r="H67" i="8" l="1"/>
  <c r="F30" i="9" s="1"/>
  <c r="H40" i="8"/>
  <c r="H44" i="8" s="1"/>
  <c r="H56" i="8"/>
  <c r="H23" i="8"/>
  <c r="H26" i="8" s="1"/>
  <c r="H20" i="8"/>
  <c r="H10" i="8"/>
  <c r="H13" i="8"/>
  <c r="H28" i="8"/>
  <c r="H11" i="8" l="1"/>
  <c r="K30" i="9"/>
  <c r="H30" i="9"/>
  <c r="I30" i="9"/>
  <c r="L30" i="9"/>
  <c r="G30" i="9"/>
  <c r="M30" i="9"/>
  <c r="H14" i="8"/>
  <c r="H16" i="8" s="1"/>
  <c r="F6" i="9" l="1"/>
  <c r="G6" i="9" l="1"/>
  <c r="I6" i="9"/>
  <c r="K6" i="9"/>
  <c r="H6" i="9"/>
  <c r="L6" i="9"/>
  <c r="M6" i="9"/>
  <c r="H18" i="8" l="1"/>
  <c r="H21" i="8" s="1"/>
  <c r="F8" i="9" l="1"/>
  <c r="H19" i="8"/>
  <c r="H8" i="9" l="1"/>
  <c r="L8" i="9"/>
  <c r="G8" i="9"/>
  <c r="I8" i="9"/>
  <c r="M8" i="9"/>
  <c r="K8" i="9"/>
  <c r="O21" i="9" l="1"/>
  <c r="O13" i="9"/>
  <c r="H29" i="8"/>
  <c r="O33" i="9"/>
  <c r="H32" i="8" l="1"/>
  <c r="O23" i="9"/>
  <c r="O17" i="9"/>
  <c r="H22" i="8"/>
  <c r="O15" i="9"/>
  <c r="H24" i="8" l="1"/>
  <c r="O9" i="9"/>
  <c r="O5" i="9"/>
  <c r="O11" i="9"/>
  <c r="O29" i="9"/>
  <c r="O19" i="9"/>
  <c r="O7" i="9"/>
  <c r="H27" i="8" l="1"/>
  <c r="F10" i="9"/>
  <c r="L10" i="9" s="1"/>
  <c r="O31" i="9"/>
  <c r="H30" i="8" l="1"/>
  <c r="H10" i="9"/>
  <c r="G10" i="9"/>
  <c r="I10" i="9"/>
  <c r="M10" i="9"/>
  <c r="H33" i="8" l="1"/>
  <c r="H34" i="8" s="1"/>
  <c r="F12" i="9"/>
  <c r="L12" i="9" s="1"/>
  <c r="H12" i="9" l="1"/>
  <c r="K12" i="9"/>
  <c r="G12" i="9"/>
  <c r="I12" i="9"/>
  <c r="H36" i="8" l="1"/>
  <c r="H37" i="8" s="1"/>
  <c r="F14" i="9"/>
  <c r="L14" i="9" s="1"/>
  <c r="M14" i="9" l="1"/>
  <c r="I14" i="9"/>
  <c r="H14" i="9"/>
  <c r="G14" i="9"/>
  <c r="K14" i="9"/>
  <c r="H39" i="8" l="1"/>
  <c r="M13" i="9"/>
  <c r="M12" i="9" s="1"/>
  <c r="F20" i="9" l="1"/>
  <c r="H42" i="8"/>
  <c r="H45" i="8" s="1"/>
  <c r="H41" i="8"/>
  <c r="H54" i="8" s="1"/>
  <c r="H48" i="8" l="1"/>
  <c r="G20" i="9"/>
  <c r="H20" i="9"/>
  <c r="L20" i="9"/>
  <c r="K20" i="9"/>
  <c r="I20" i="9"/>
  <c r="M20" i="9"/>
  <c r="H55" i="8"/>
  <c r="H57" i="8" s="1"/>
  <c r="F22" i="9" l="1"/>
  <c r="H68" i="8"/>
  <c r="H22" i="9" l="1"/>
  <c r="L22" i="9"/>
  <c r="L44" i="9" s="1"/>
  <c r="K22" i="9"/>
  <c r="K44" i="9" s="1"/>
  <c r="I22" i="9"/>
  <c r="M22" i="9"/>
  <c r="H44" i="9"/>
  <c r="I44" i="9" l="1"/>
  <c r="F44" i="9"/>
  <c r="G44" i="9" l="1"/>
  <c r="K46" i="9"/>
  <c r="G46" i="9" l="1"/>
  <c r="G45" i="9"/>
  <c r="G47" i="9" s="1"/>
  <c r="I46" i="9"/>
  <c r="H46" i="9"/>
  <c r="L46" i="9"/>
  <c r="H45" i="9" l="1"/>
  <c r="H47" i="9" l="1"/>
  <c r="I45" i="9"/>
  <c r="I47" i="9" l="1"/>
  <c r="K45" i="9" l="1"/>
  <c r="K47" i="9" l="1"/>
  <c r="L45" i="9"/>
  <c r="L47" i="9" s="1"/>
</calcChain>
</file>

<file path=xl/comments1.xml><?xml version="1.0" encoding="utf-8"?>
<comments xmlns="http://schemas.openxmlformats.org/spreadsheetml/2006/main">
  <authors>
    <author>Beatryz</author>
  </authors>
  <commentList>
    <comment ref="C39" authorId="0" shapeId="0">
      <text>
        <r>
          <rPr>
            <b/>
            <sz val="9"/>
            <color indexed="81"/>
            <rFont val="Segoe UI"/>
            <family val="2"/>
          </rPr>
          <t>Beatryz:</t>
        </r>
        <r>
          <rPr>
            <sz val="9"/>
            <color indexed="81"/>
            <rFont val="Segoe UI"/>
            <family val="2"/>
          </rPr>
          <t xml:space="preserve">
NÃO TEM A OPÇÃO BIFÁSICO OU TRIFÁSICO NO SINAPI, SOMENTE ESTA</t>
        </r>
      </text>
    </comment>
  </commentList>
</comments>
</file>

<file path=xl/sharedStrings.xml><?xml version="1.0" encoding="utf-8"?>
<sst xmlns="http://schemas.openxmlformats.org/spreadsheetml/2006/main" count="227" uniqueCount="182">
  <si>
    <t>Itens</t>
  </si>
  <si>
    <t>M2</t>
  </si>
  <si>
    <t>TOTAL</t>
  </si>
  <si>
    <t>MOVIMENTO DE TERRA</t>
  </si>
  <si>
    <t>M3</t>
  </si>
  <si>
    <t>M</t>
  </si>
  <si>
    <t>SERVIÇOS COMPLEMENTARES</t>
  </si>
  <si>
    <t>7.1</t>
  </si>
  <si>
    <t>FUNDAÇÕES</t>
  </si>
  <si>
    <t>KG</t>
  </si>
  <si>
    <t>PAREDES E PAINEIS</t>
  </si>
  <si>
    <t>UN</t>
  </si>
  <si>
    <t>PT</t>
  </si>
  <si>
    <t>INSTALAÇÕES ELÉTRICAS</t>
  </si>
  <si>
    <t>8.1</t>
  </si>
  <si>
    <t>REVESTIMENTOS</t>
  </si>
  <si>
    <t>9.1</t>
  </si>
  <si>
    <t>LIMPEZA GERAL</t>
  </si>
  <si>
    <t>PREFEITURA MUNICIPAL DE NOVORIZONTE</t>
  </si>
  <si>
    <t>OBRA:</t>
  </si>
  <si>
    <t>LOCAL:</t>
  </si>
  <si>
    <t>DATA:</t>
  </si>
  <si>
    <t>BDI:</t>
  </si>
  <si>
    <t>Und</t>
  </si>
  <si>
    <t>74130/001</t>
  </si>
  <si>
    <t>DISJUNTOR TERMOMAGNETICO MONOPOLAR PADRAO NEMA (AMERICANO) 10 A 30A 240V, FORNECIMENTO E INSTALACAO</t>
  </si>
  <si>
    <t>COBERTURA</t>
  </si>
  <si>
    <t>Quant</t>
  </si>
  <si>
    <t>9.3</t>
  </si>
  <si>
    <t>OBSERVAÇÕES:</t>
  </si>
  <si>
    <t>CRONOGRAMA FÍSICO FINANCEIRO</t>
  </si>
  <si>
    <t>PERÍODO</t>
  </si>
  <si>
    <t>ITEM</t>
  </si>
  <si>
    <t>DISCRIMINAÇÃO DOS SERVIÇOS</t>
  </si>
  <si>
    <t>MÊS 01</t>
  </si>
  <si>
    <t>MÊS 02</t>
  </si>
  <si>
    <t>MÊS 03</t>
  </si>
  <si>
    <t>MÊS 04</t>
  </si>
  <si>
    <t>MÊS 05</t>
  </si>
  <si>
    <t>MÊS 06</t>
  </si>
  <si>
    <t>SUB-TOTAL</t>
  </si>
  <si>
    <t>VALOR DO PERÍODO</t>
  </si>
  <si>
    <t>VALOR ACUMULADO</t>
  </si>
  <si>
    <t>PERCENTUAL DO PERÍODO</t>
  </si>
  <si>
    <t>PERCENTUAL ACUMULADO</t>
  </si>
  <si>
    <t>VALOR</t>
  </si>
  <si>
    <t>Total</t>
  </si>
  <si>
    <t>TOTAL GERAL COM B.D.I.</t>
  </si>
  <si>
    <t>P. unit. s/ BDI</t>
  </si>
  <si>
    <t>P. unit. c/ BDI</t>
  </si>
  <si>
    <t>74157/004</t>
  </si>
  <si>
    <t>1.1</t>
  </si>
  <si>
    <t>74106/001</t>
  </si>
  <si>
    <t>IMPERMEABILIZACAO DE ESTRUTURAS ENTERRADAS, COM TINTA ASFALTICA, DUAS 
DEMAOS.</t>
  </si>
  <si>
    <t>CAIXA DE PASSAGEM 20X20X25 FUNDO BRITA COM TAMPA</t>
  </si>
  <si>
    <t>DISJUNTOR TERMOMAGNETICO BIPOLAR PADRAO NEMA (AMERICANO) 10 A 50A 240V, FORNECIMENTO E INSTALACAO</t>
  </si>
  <si>
    <t xml:space="preserve">74130/003 </t>
  </si>
  <si>
    <t>2.2</t>
  </si>
  <si>
    <t>2.1</t>
  </si>
  <si>
    <t>2.3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</si>
  <si>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</si>
  <si>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</si>
  <si>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</si>
  <si>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</si>
  <si>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</si>
  <si>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</si>
  <si>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</si>
  <si>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</si>
  <si>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</si>
  <si>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5.1</t>
  </si>
  <si>
    <t>5.2</t>
  </si>
  <si>
    <t>6.1</t>
  </si>
  <si>
    <t>9.8</t>
  </si>
  <si>
    <t>9.10</t>
  </si>
  <si>
    <t>9.12</t>
  </si>
  <si>
    <t>9.13</t>
  </si>
  <si>
    <t>PONTO DE LUZ EMBUTIDO, INCLUINDO ELETRODUTO DE PVC RÍGIDO E CAIXA
COM ESPELHO (POR UNIDADE)</t>
  </si>
  <si>
    <t xml:space="preserve">*INST-LUZ-005 </t>
  </si>
  <si>
    <t>SERVIÇOS PRELIMINARES</t>
  </si>
  <si>
    <t>PAI-MUD-060</t>
  </si>
  <si>
    <t>FORNECIMENTO DE PALMEIRA ARECA LUTESCENS</t>
  </si>
  <si>
    <t>1.2</t>
  </si>
  <si>
    <t>1.3</t>
  </si>
  <si>
    <t>Ref.</t>
  </si>
  <si>
    <t>3.6</t>
  </si>
  <si>
    <t>Descrição</t>
  </si>
  <si>
    <t xml:space="preserve">LANÇAMENTO E ADENSAMENTO DE CONCRETO </t>
  </si>
  <si>
    <t>CHAPISCO APLICADO EM ALVENARIAS E ESTRUTURAS DE CONCRETO INTERNAS, COM COLHER DE PEDREIRO.  ARGAMASSA TRAÇO 1:3 COM PREPARO EM BETONEIRA 400 L. AF_06/2014</t>
  </si>
  <si>
    <t>MASSA ÚNICA, PARA RECEBIMENTO DE PINTURA, EM ARGAMASSA TRAÇO 1:2:8, PREPARO MECÂNICO COM BETONEIRA 400L, APLICADA MANUALMENTE EM FACES INTERNAS DE PAREDES, ESPESSURA DE 20MM, COM EXECUÇÃO DE TALISCAS. AF_06/2014</t>
  </si>
  <si>
    <t>ESTRUTURA</t>
  </si>
  <si>
    <t>+</t>
  </si>
  <si>
    <t>74246/001</t>
  </si>
  <si>
    <t>9.18</t>
  </si>
  <si>
    <t>LOCAÇÃO DA OBRA (GABARITO)</t>
  </si>
  <si>
    <t>LOC-OBR-005</t>
  </si>
  <si>
    <t>LASTRO DE CONCRETO MAGRO, APLICADO EM BLOCOS DE COROAMENTO OU SAPATAS, ESPESSURA DE 5 CM. AF_08/2017</t>
  </si>
  <si>
    <t>FORMA E DESFORMA EM TÁBUAS DE PINHO (3X)</t>
  </si>
  <si>
    <t>FUN-FOR-005</t>
  </si>
  <si>
    <t>CORTE, DOBRA E ARMAÇÃO DE AÇO CA-50/60</t>
  </si>
  <si>
    <t>ARM-AÇO-020</t>
  </si>
  <si>
    <t>ED-8504</t>
  </si>
  <si>
    <t>ED-8486</t>
  </si>
  <si>
    <t>CONCRETO ESTRUTURAL, PREPARADO EM OBRA COM BETONEIRA, CONTROL"A",COM FCK 20 MPA, BRITA Nº (1 E 2), CONSISTÊNCIA PARA VIBRAÇÃO (FABRICAÇÃO)</t>
  </si>
  <si>
    <t>LANÇAMENTO DE CONCRETO EM ESTRUTURA, INCLUSIVE TRANSPORTE ATÉ O LOCAL DE APLICAÇÃO, EXCLUSIVE APLICAÇÃO</t>
  </si>
  <si>
    <t>FUN-TRA-045</t>
  </si>
  <si>
    <t>PERFURAÇÃO DE ESTACA BROCA A TRADO MECANIZADO D=400MM</t>
  </si>
  <si>
    <t>EST-MET-005</t>
  </si>
  <si>
    <t>FORNECIMENTO, FABRICAÇÃO, TRANSPORTE E MONTAGEM DE ESTRUTURA METÁLICA EM PERFIS LAMINADOS, INCLUSIVE PINTURA PRIMER</t>
  </si>
  <si>
    <t>FABRICAÇÃO DE FÔRMA PARA PILARES E ESTRUTURAS SIMILARES, EM CHAPA DE MADEIRA COMPENSADA RESINADA, E = 17 MM. AF_12/2015</t>
  </si>
  <si>
    <t>ED-9081</t>
  </si>
  <si>
    <t xml:space="preserve"> ALVENARIA DE VEDAÇÃO DE BLOCOS CERÂMICOS FURADOS NA VERTICAL DE 9X19X3 9CM (ESPESSURA 9CM) DE PAREDES COM ÁREA LÍQUIDA MAIOR OU IGUAL A 6M² SEM VÃOS E ARGAMASSA DE ASSENTAMENTO COM PREPARO EM BETONEIRA. AF_06/2014</t>
  </si>
  <si>
    <t xml:space="preserve">SICRO 5213425 </t>
  </si>
  <si>
    <t>PLANTIO DE GRAMA BATATAIS EM PLACAS, INCLUSIVE TERRA VEGETAL E CONSERVAÇÃO POR 30 DIAS</t>
  </si>
  <si>
    <t>PAI-GRA-005</t>
  </si>
  <si>
    <t>PLANTIO E PREPARO DE COVAS DE ARBUSTOS ORNAMENTAIS EM GERAL, EXCETO FORNECIMENTO DAS MUDAS</t>
  </si>
  <si>
    <t>PAI-COV-010</t>
  </si>
  <si>
    <t>U</t>
  </si>
  <si>
    <t>LASTRO DE SEIXO, INCLUSIVE LANÇAMENTO E ESPALHAMENTO MANUAL</t>
  </si>
  <si>
    <t>ED-14560</t>
  </si>
  <si>
    <t>PROJETOR LED INDUSTRIAL MODELO OULSE LEDRFL 135-B5-002 135w, 5000k - 50.000H - 220 V - LENTE 90 - IP67</t>
  </si>
  <si>
    <t>QUADRO DE DISTRIBUICAO DE ENERGIA DE EMBUTIR, EM CHAPA METALICA, PARA 3 DISJUNTORES TERMOMAGNETICOS MONOPOLARES SEM BARRAMENTO FORNECIMENTO E INSTALACAO</t>
  </si>
  <si>
    <t>74131/001</t>
  </si>
  <si>
    <t>HASTE DE ATERRAMENTO 5/8 PARA SPDA - FORNECIMENTO E INSTALAÇÃO AF_12/2017</t>
  </si>
  <si>
    <t>KIT ENERGIA SOLAR FOTOVOLTAICA, COMPOSTO POR INVERSOR, PLACAS SOLARES, BATERIAS, CABOS, SISTEMA DE FIXAÇÃO E ELETRODUTOS</t>
  </si>
  <si>
    <t>MERCADO</t>
  </si>
  <si>
    <t>PINTURA</t>
  </si>
  <si>
    <t>PIN-TRA-005</t>
  </si>
  <si>
    <t>TRATAMENTO EM SUPERFÍCIE DE CONCRETO APARENTE, INCLUSIVE RASPAGEM, ESTUCAGEM E POLIMENTO COM DUAS (2) DEMÃOS DE RESINA ACRÍLICA</t>
  </si>
  <si>
    <t>CONFECÇÃO DE PLACA EM ALUMÍNIO COMPOSTO DE 3 MM, MODULADA, AÉREA, COM PELÍCULA CONFORME PROJETO</t>
  </si>
  <si>
    <t>ESTADO DE MINAS GERAIS</t>
  </si>
  <si>
    <t>RODOVIA NOVORIZONTE/SALINAS - ZONA RURAL - NOVORIZONTE/MG</t>
  </si>
  <si>
    <t>CONSTRUÇÃO DO PÓRTICO DE ENTRADA DO MUNICÍPIO</t>
  </si>
  <si>
    <t>IIO-PLA-005</t>
  </si>
  <si>
    <t>FORNECIMENTO E COLOCAÇÃO DE PLACA DE OBRA EM CHAPA GALVANIZADA (2,00 X 1,00 M) - EM CHAPA GALVANIZADA 0,26 AFIXADAS COM REBITES 540 E PARAFUSOS 3/8, EM ESTRUTURA METÁLICA VIGA U 2" ENRIJECIDA COM METALON 20X20, SUPORTE EM EUCALIPTO AUTOCLAVADO PINTADAS</t>
  </si>
  <si>
    <t>TER-ESC-035</t>
  </si>
  <si>
    <t>ESCAVAÇÃO MANUAL DE VALAS H &lt;= 1,50 M</t>
  </si>
  <si>
    <t>TER-REG-005</t>
  </si>
  <si>
    <t>REGULARIZAÇÃO E COMPACTAÇÃO DE TERRENO MANUAL, COM SOQUETE</t>
  </si>
  <si>
    <t>REFERÊNCIA TÉCNICA SINAPI OUT/19 E SETOP 11/19</t>
  </si>
  <si>
    <t>MONTAGEM E DESMONTAGEM DE ANDAIME METÁLICO TUBULAR TIPO TORRE, EXCLUSIVE FORNECIMENTO DO ANDAIME</t>
  </si>
  <si>
    <t>ED-9077</t>
  </si>
  <si>
    <t>BARRACÃO DE OBRA, EM CHAPA DE COMPENSADO RESINADO, INCLUSIVE INSTALAÇÕES SANITÁRIAS E MOBILIÁRIO - PADRÃO DEER-MG</t>
  </si>
  <si>
    <t>IIO-BAR-046</t>
  </si>
  <si>
    <t>1.5</t>
  </si>
  <si>
    <t>MEMÓRIA DE CÁLCULO</t>
  </si>
  <si>
    <t>1*1</t>
  </si>
  <si>
    <t>VINÍCIUS MODESTO COSTA MATOS</t>
  </si>
  <si>
    <t>ENG.CIVIL - CREA MG219.180/D</t>
  </si>
  <si>
    <t>VINÍCIUS MODESTO COSTA MATOS - CREA: MG219.180/D                                ARLEY COSTA MENDES - PREFEITO MUNICIPAL</t>
  </si>
  <si>
    <t>5*2,2</t>
  </si>
  <si>
    <t>9,5*4</t>
  </si>
  <si>
    <t>20*6</t>
  </si>
  <si>
    <t>1,2*2,4*0,8+0,8*0,8*0,8*4</t>
  </si>
  <si>
    <t>7*6</t>
  </si>
  <si>
    <t>1,2*2,4+0,8+0,8*0,8*4</t>
  </si>
  <si>
    <t>0,8*0,8*4*8+1,2*2,4*2+1,2*0,8*2</t>
  </si>
  <si>
    <t>9,63*60</t>
  </si>
  <si>
    <t>0,2*0,2*3,14*7*6+1,2*2,4*0,8+0,8*0,8*0,8*4</t>
  </si>
  <si>
    <t>0,4*3,4*4</t>
  </si>
  <si>
    <t>(9,2*2+2,3*3)*2*0,4*2+13,3*2+1,4*2</t>
  </si>
  <si>
    <t>(9,2*2+2,3*3)*2*0,4*0,4+13,3*1,4</t>
  </si>
  <si>
    <t>26,72*60</t>
  </si>
  <si>
    <t>(9,2*2+2,3*3)*2*0,4*0,4+13,3*1,4[</t>
  </si>
  <si>
    <t>140*2*5</t>
  </si>
  <si>
    <t>(11,5*1,8+0,8*13,5*0,8)*2</t>
  </si>
  <si>
    <t>32,87*4+9,2*0,2*4</t>
  </si>
  <si>
    <t>31,87*4+9,2*0,5*4</t>
  </si>
  <si>
    <t>13,3*2+9,5*1,4*2</t>
  </si>
  <si>
    <t>2*2*2</t>
  </si>
  <si>
    <t>8*1</t>
  </si>
  <si>
    <t>6*1</t>
  </si>
  <si>
    <t>INSTALAÇÕES ELETRICAS</t>
  </si>
  <si>
    <t>8.2</t>
  </si>
  <si>
    <t>8.3</t>
  </si>
  <si>
    <t>10.1</t>
  </si>
  <si>
    <t>10.2</t>
  </si>
  <si>
    <t>10.3</t>
  </si>
  <si>
    <t>10.4</t>
  </si>
  <si>
    <t>10.5</t>
  </si>
  <si>
    <t>REVESTIMENTO COM PORCELANATO APLICADO EM PAREDE, ACABAMENTO MADEIRA, AMBIENTE EXTERNO, PADRÃO EXTRA, DIMENSÃO DA PEÇA ATÉ 2025 CM2, PEI III, ASSENTAMENTO COM ARGAMASSA INDUSTRIALIZADA, INCLUSIVE REJUNTAMENTO</t>
  </si>
  <si>
    <t>REFLETOR LED COM SUPORTE PARA FACHADA 200 WATTS C/ SUPORTE</t>
  </si>
  <si>
    <t>5*1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</si>
</sst>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0.000%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8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010000"/>
      <name val="Calibri"/>
      <family val="2"/>
      <scheme val="minor"/>
    </font>
    <font>
      <sz val="11"/>
      <color rgb="FF010000"/>
      <name val="Calibri"/>
      <family val="2"/>
      <scheme val="minor"/>
    </font>
    <font>
      <b/>
      <sz val="12"/>
      <name val="Arial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49">
    <xf numFmtId="0" fontId="0" fillId="0" borderId="0" xfId="0"/>
    <xf numFmtId="0" fontId="0" fillId="2" borderId="0" xfId="0" applyFill="1"/>
    <xf numFmtId="0" fontId="4" fillId="2" borderId="2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/>
    <xf numFmtId="9" fontId="5" fillId="2" borderId="6" xfId="2" applyNumberFormat="1" applyFont="1" applyFill="1" applyBorder="1"/>
    <xf numFmtId="9" fontId="5" fillId="2" borderId="33" xfId="2" applyNumberFormat="1" applyFont="1" applyFill="1" applyBorder="1"/>
    <xf numFmtId="164" fontId="5" fillId="2" borderId="35" xfId="2" applyNumberFormat="1" applyFont="1" applyFill="1" applyBorder="1"/>
    <xf numFmtId="164" fontId="5" fillId="2" borderId="36" xfId="2" applyNumberFormat="1" applyFont="1" applyFill="1" applyBorder="1"/>
    <xf numFmtId="164" fontId="5" fillId="2" borderId="6" xfId="2" applyNumberFormat="1" applyFont="1" applyFill="1" applyBorder="1"/>
    <xf numFmtId="164" fontId="5" fillId="2" borderId="33" xfId="2" applyNumberFormat="1" applyFont="1" applyFill="1" applyBorder="1"/>
    <xf numFmtId="0" fontId="5" fillId="2" borderId="34" xfId="0" applyFont="1" applyFill="1" applyBorder="1"/>
    <xf numFmtId="4" fontId="8" fillId="2" borderId="35" xfId="0" applyNumberFormat="1" applyFont="1" applyFill="1" applyBorder="1" applyAlignment="1">
      <alignment horizontal="center"/>
    </xf>
    <xf numFmtId="164" fontId="5" fillId="2" borderId="35" xfId="2" applyNumberFormat="1" applyFont="1" applyFill="1" applyBorder="1" applyAlignment="1">
      <alignment horizontal="right"/>
    </xf>
    <xf numFmtId="164" fontId="8" fillId="2" borderId="36" xfId="2" applyNumberFormat="1" applyFont="1" applyFill="1" applyBorder="1"/>
    <xf numFmtId="0" fontId="5" fillId="2" borderId="29" xfId="0" applyFont="1" applyFill="1" applyBorder="1"/>
    <xf numFmtId="164" fontId="5" fillId="2" borderId="6" xfId="2" applyNumberFormat="1" applyFont="1" applyFill="1" applyBorder="1" applyAlignment="1">
      <alignment horizontal="right"/>
    </xf>
    <xf numFmtId="10" fontId="5" fillId="2" borderId="6" xfId="2" applyNumberFormat="1" applyFont="1" applyFill="1" applyBorder="1" applyAlignment="1">
      <alignment horizontal="right"/>
    </xf>
    <xf numFmtId="10" fontId="5" fillId="2" borderId="6" xfId="1" applyNumberFormat="1" applyFont="1" applyFill="1" applyBorder="1" applyAlignment="1">
      <alignment horizontal="right"/>
    </xf>
    <xf numFmtId="0" fontId="5" fillId="2" borderId="37" xfId="0" applyFont="1" applyFill="1" applyBorder="1"/>
    <xf numFmtId="164" fontId="5" fillId="2" borderId="38" xfId="2" applyNumberFormat="1" applyFont="1" applyFill="1" applyBorder="1"/>
    <xf numFmtId="10" fontId="5" fillId="2" borderId="38" xfId="2" applyNumberFormat="1" applyFont="1" applyFill="1" applyBorder="1" applyAlignment="1">
      <alignment horizontal="right"/>
    </xf>
    <xf numFmtId="10" fontId="5" fillId="2" borderId="38" xfId="1" applyNumberFormat="1" applyFont="1" applyFill="1" applyBorder="1" applyAlignment="1">
      <alignment horizontal="right"/>
    </xf>
    <xf numFmtId="164" fontId="5" fillId="2" borderId="39" xfId="2" applyNumberFormat="1" applyFont="1" applyFill="1" applyBorder="1"/>
    <xf numFmtId="0" fontId="8" fillId="2" borderId="0" xfId="0" applyFont="1" applyFill="1" applyBorder="1" applyAlignment="1">
      <alignment horizontal="right"/>
    </xf>
    <xf numFmtId="0" fontId="5" fillId="2" borderId="0" xfId="0" applyFont="1" applyFill="1" applyBorder="1"/>
    <xf numFmtId="0" fontId="4" fillId="2" borderId="18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center" vertical="center" wrapText="1"/>
    </xf>
    <xf numFmtId="14" fontId="6" fillId="0" borderId="24" xfId="0" applyNumberFormat="1" applyFont="1" applyBorder="1" applyAlignment="1">
      <alignment horizontal="center" wrapText="1"/>
    </xf>
    <xf numFmtId="4" fontId="4" fillId="2" borderId="0" xfId="0" applyNumberFormat="1" applyFont="1" applyFill="1"/>
    <xf numFmtId="4" fontId="5" fillId="2" borderId="0" xfId="0" applyNumberFormat="1" applyFont="1" applyFill="1"/>
    <xf numFmtId="0" fontId="5" fillId="0" borderId="0" xfId="0" applyFont="1" applyFill="1" applyBorder="1"/>
    <xf numFmtId="4" fontId="1" fillId="3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2" fontId="0" fillId="0" borderId="1" xfId="0" applyNumberFormat="1" applyFill="1" applyBorder="1" applyAlignment="1">
      <alignment wrapText="1"/>
    </xf>
    <xf numFmtId="2" fontId="0" fillId="0" borderId="1" xfId="0" applyNumberFormat="1" applyFill="1" applyBorder="1" applyAlignment="1">
      <alignment horizontal="center" wrapText="1"/>
    </xf>
    <xf numFmtId="4" fontId="0" fillId="0" borderId="1" xfId="0" applyNumberFormat="1" applyFill="1" applyBorder="1"/>
    <xf numFmtId="2" fontId="0" fillId="0" borderId="1" xfId="0" applyNumberFormat="1" applyFill="1" applyBorder="1" applyAlignment="1">
      <alignment horizontal="left" vertical="top" wrapText="1"/>
    </xf>
    <xf numFmtId="0" fontId="13" fillId="0" borderId="1" xfId="0" applyNumberFormat="1" applyFont="1" applyFill="1" applyBorder="1" applyAlignment="1">
      <alignment horizontal="center" wrapText="1"/>
    </xf>
    <xf numFmtId="4" fontId="0" fillId="0" borderId="1" xfId="0" applyNumberFormat="1" applyFill="1" applyBorder="1" applyAlignment="1">
      <alignment wrapText="1"/>
    </xf>
    <xf numFmtId="165" fontId="4" fillId="2" borderId="0" xfId="1" applyNumberFormat="1" applyFont="1" applyFill="1"/>
    <xf numFmtId="0" fontId="0" fillId="0" borderId="0" xfId="0" applyFill="1"/>
    <xf numFmtId="0" fontId="1" fillId="0" borderId="1" xfId="0" applyNumberFormat="1" applyFont="1" applyFill="1" applyBorder="1" applyAlignment="1">
      <alignment wrapText="1"/>
    </xf>
    <xf numFmtId="14" fontId="0" fillId="0" borderId="4" xfId="0" applyNumberFormat="1" applyFont="1" applyFill="1" applyBorder="1" applyAlignment="1">
      <alignment horizontal="center" wrapText="1"/>
    </xf>
    <xf numFmtId="4" fontId="0" fillId="0" borderId="0" xfId="0" applyNumberFormat="1" applyFill="1"/>
    <xf numFmtId="10" fontId="0" fillId="0" borderId="4" xfId="1" applyNumberFormat="1" applyFont="1" applyFill="1" applyBorder="1" applyAlignment="1">
      <alignment horizontal="center" wrapText="1"/>
    </xf>
    <xf numFmtId="0" fontId="0" fillId="0" borderId="1" xfId="0" applyFill="1" applyBorder="1"/>
    <xf numFmtId="4" fontId="1" fillId="0" borderId="1" xfId="0" applyNumberFormat="1" applyFont="1" applyFill="1" applyBorder="1"/>
    <xf numFmtId="2" fontId="0" fillId="0" borderId="1" xfId="0" applyNumberForma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4" fontId="0" fillId="3" borderId="1" xfId="0" applyNumberFormat="1" applyFill="1" applyBorder="1"/>
    <xf numFmtId="4" fontId="1" fillId="3" borderId="1" xfId="0" applyNumberFormat="1" applyFont="1" applyFill="1" applyBorder="1"/>
    <xf numFmtId="0" fontId="13" fillId="0" borderId="1" xfId="0" applyFont="1" applyFill="1" applyBorder="1"/>
    <xf numFmtId="0" fontId="0" fillId="0" borderId="0" xfId="0" applyFill="1" applyAlignment="1">
      <alignment horizontal="center"/>
    </xf>
    <xf numFmtId="4" fontId="11" fillId="0" borderId="1" xfId="0" applyNumberFormat="1" applyFont="1" applyFill="1" applyBorder="1"/>
    <xf numFmtId="0" fontId="1" fillId="4" borderId="1" xfId="0" applyNumberFormat="1" applyFont="1" applyFill="1" applyBorder="1" applyAlignment="1">
      <alignment horizontal="center" wrapText="1"/>
    </xf>
    <xf numFmtId="0" fontId="12" fillId="4" borderId="1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  <xf numFmtId="0" fontId="0" fillId="4" borderId="1" xfId="0" applyFill="1" applyBorder="1"/>
    <xf numFmtId="4" fontId="0" fillId="4" borderId="1" xfId="0" applyNumberFormat="1" applyFill="1" applyBorder="1"/>
    <xf numFmtId="0" fontId="13" fillId="4" borderId="1" xfId="0" applyNumberFormat="1" applyFont="1" applyFill="1" applyBorder="1" applyAlignment="1">
      <alignment horizontal="center" wrapText="1"/>
    </xf>
    <xf numFmtId="2" fontId="0" fillId="4" borderId="1" xfId="0" applyNumberFormat="1" applyFill="1" applyBorder="1" applyAlignment="1">
      <alignment horizontal="center" wrapText="1"/>
    </xf>
    <xf numFmtId="0" fontId="0" fillId="4" borderId="0" xfId="0" applyFill="1"/>
    <xf numFmtId="0" fontId="1" fillId="4" borderId="1" xfId="0" applyFont="1" applyFill="1" applyBorder="1" applyAlignment="1">
      <alignment horizontal="center" vertical="center"/>
    </xf>
    <xf numFmtId="4" fontId="14" fillId="3" borderId="1" xfId="0" applyNumberFormat="1" applyFont="1" applyFill="1" applyBorder="1" applyAlignment="1">
      <alignment horizontal="center" wrapText="1"/>
    </xf>
    <xf numFmtId="0" fontId="11" fillId="4" borderId="1" xfId="0" applyFont="1" applyFill="1" applyBorder="1"/>
    <xf numFmtId="0" fontId="14" fillId="0" borderId="1" xfId="0" applyFont="1" applyFill="1" applyBorder="1"/>
    <xf numFmtId="4" fontId="14" fillId="0" borderId="1" xfId="0" applyNumberFormat="1" applyFont="1" applyFill="1" applyBorder="1"/>
    <xf numFmtId="4" fontId="11" fillId="0" borderId="1" xfId="0" applyNumberFormat="1" applyFont="1" applyFill="1" applyBorder="1" applyAlignment="1">
      <alignment wrapText="1"/>
    </xf>
    <xf numFmtId="4" fontId="11" fillId="4" borderId="1" xfId="0" applyNumberFormat="1" applyFont="1" applyFill="1" applyBorder="1"/>
    <xf numFmtId="4" fontId="11" fillId="0" borderId="0" xfId="0" applyNumberFormat="1" applyFont="1" applyFill="1"/>
    <xf numFmtId="0" fontId="11" fillId="0" borderId="0" xfId="0" applyFont="1" applyFill="1"/>
    <xf numFmtId="0" fontId="1" fillId="0" borderId="1" xfId="0" applyNumberFormat="1" applyFont="1" applyFill="1" applyBorder="1" applyAlignment="1">
      <alignment horizontal="left" wrapText="1"/>
    </xf>
    <xf numFmtId="4" fontId="1" fillId="0" borderId="1" xfId="0" applyNumberFormat="1" applyFon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0" borderId="0" xfId="0" applyFill="1" applyAlignment="1">
      <alignment wrapText="1"/>
    </xf>
    <xf numFmtId="2" fontId="0" fillId="0" borderId="1" xfId="0" applyNumberFormat="1" applyFont="1" applyFill="1" applyBorder="1" applyAlignment="1">
      <alignment wrapText="1"/>
    </xf>
    <xf numFmtId="2" fontId="0" fillId="0" borderId="1" xfId="0" applyNumberFormat="1" applyFill="1" applyBorder="1" applyAlignment="1">
      <alignment horizontal="justify" wrapText="1"/>
    </xf>
    <xf numFmtId="4" fontId="11" fillId="0" borderId="1" xfId="0" applyNumberFormat="1" applyFont="1" applyFill="1" applyBorder="1" applyAlignment="1">
      <alignment horizont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vertical="top"/>
    </xf>
    <xf numFmtId="0" fontId="0" fillId="0" borderId="0" xfId="0" applyFill="1" applyAlignment="1">
      <alignment horizontal="justify" wrapText="1"/>
    </xf>
    <xf numFmtId="2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/>
    </xf>
    <xf numFmtId="2" fontId="6" fillId="5" borderId="1" xfId="0" applyNumberFormat="1" applyFont="1" applyFill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7" xfId="0" applyBorder="1"/>
    <xf numFmtId="0" fontId="0" fillId="0" borderId="23" xfId="0" applyBorder="1"/>
    <xf numFmtId="0" fontId="0" fillId="0" borderId="11" xfId="0" applyBorder="1"/>
    <xf numFmtId="0" fontId="0" fillId="0" borderId="22" xfId="0" applyBorder="1"/>
    <xf numFmtId="0" fontId="0" fillId="0" borderId="0" xfId="0" applyFill="1" applyAlignment="1"/>
    <xf numFmtId="0" fontId="8" fillId="2" borderId="0" xfId="0" applyFont="1" applyFill="1"/>
    <xf numFmtId="164" fontId="5" fillId="2" borderId="0" xfId="2" applyNumberFormat="1" applyFont="1" applyFill="1" applyBorder="1"/>
    <xf numFmtId="10" fontId="5" fillId="2" borderId="0" xfId="2" applyNumberFormat="1" applyFont="1" applyFill="1" applyBorder="1" applyAlignment="1">
      <alignment horizontal="right"/>
    </xf>
    <xf numFmtId="10" fontId="5" fillId="2" borderId="0" xfId="1" applyNumberFormat="1" applyFont="1" applyFill="1" applyBorder="1" applyAlignment="1">
      <alignment horizontal="right"/>
    </xf>
    <xf numFmtId="0" fontId="8" fillId="2" borderId="0" xfId="0" applyFont="1" applyFill="1" applyBorder="1"/>
    <xf numFmtId="2" fontId="6" fillId="5" borderId="1" xfId="0" applyNumberFormat="1" applyFont="1" applyFill="1" applyBorder="1" applyAlignment="1">
      <alignment horizontal="center" vertical="center" wrapText="1"/>
    </xf>
    <xf numFmtId="4" fontId="1" fillId="7" borderId="1" xfId="0" applyNumberFormat="1" applyFont="1" applyFill="1" applyBorder="1"/>
    <xf numFmtId="4" fontId="1" fillId="7" borderId="1" xfId="0" applyNumberFormat="1" applyFont="1" applyFill="1" applyBorder="1" applyAlignment="1">
      <alignment horizontal="center"/>
    </xf>
    <xf numFmtId="0" fontId="1" fillId="7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/>
    <xf numFmtId="9" fontId="5" fillId="2" borderId="36" xfId="2" applyNumberFormat="1" applyFont="1" applyFill="1" applyBorder="1"/>
    <xf numFmtId="0" fontId="3" fillId="0" borderId="43" xfId="0" applyFont="1" applyFill="1" applyBorder="1" applyAlignment="1">
      <alignment horizontal="center"/>
    </xf>
    <xf numFmtId="0" fontId="3" fillId="0" borderId="44" xfId="0" applyFont="1" applyFill="1" applyBorder="1" applyAlignment="1">
      <alignment horizontal="center"/>
    </xf>
    <xf numFmtId="0" fontId="3" fillId="0" borderId="45" xfId="0" applyFont="1" applyFill="1" applyBorder="1" applyAlignment="1">
      <alignment horizontal="center"/>
    </xf>
    <xf numFmtId="0" fontId="15" fillId="0" borderId="23" xfId="0" applyFont="1" applyFill="1" applyBorder="1" applyAlignment="1">
      <alignment horizontal="center"/>
    </xf>
    <xf numFmtId="0" fontId="15" fillId="0" borderId="11" xfId="0" applyFont="1" applyFill="1" applyBorder="1" applyAlignment="1">
      <alignment horizontal="center"/>
    </xf>
    <xf numFmtId="0" fontId="15" fillId="0" borderId="22" xfId="0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 wrapText="1"/>
    </xf>
    <xf numFmtId="2" fontId="1" fillId="3" borderId="3" xfId="0" applyNumberFormat="1" applyFont="1" applyFill="1" applyBorder="1" applyAlignment="1">
      <alignment horizontal="center" wrapText="1"/>
    </xf>
    <xf numFmtId="2" fontId="1" fillId="3" borderId="4" xfId="0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horizontal="left"/>
    </xf>
    <xf numFmtId="0" fontId="0" fillId="0" borderId="2" xfId="0" applyNumberFormat="1" applyFont="1" applyFill="1" applyBorder="1" applyAlignment="1">
      <alignment horizontal="left" wrapText="1"/>
    </xf>
    <xf numFmtId="0" fontId="0" fillId="0" borderId="3" xfId="0" applyNumberFormat="1" applyFont="1" applyFill="1" applyBorder="1" applyAlignment="1">
      <alignment horizontal="left" wrapText="1"/>
    </xf>
    <xf numFmtId="0" fontId="0" fillId="0" borderId="4" xfId="0" applyNumberFormat="1" applyFont="1" applyFill="1" applyBorder="1" applyAlignment="1">
      <alignment horizontal="left" wrapText="1"/>
    </xf>
    <xf numFmtId="0" fontId="0" fillId="0" borderId="2" xfId="0" applyNumberFormat="1" applyFill="1" applyBorder="1" applyAlignment="1">
      <alignment horizontal="left" wrapText="1"/>
    </xf>
    <xf numFmtId="0" fontId="0" fillId="0" borderId="3" xfId="0" applyNumberFormat="1" applyFill="1" applyBorder="1" applyAlignment="1">
      <alignment horizontal="left" wrapText="1"/>
    </xf>
    <xf numFmtId="0" fontId="0" fillId="0" borderId="4" xfId="0" applyNumberForma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0" fillId="0" borderId="11" xfId="0" applyBorder="1" applyAlignment="1">
      <alignment horizontal="center"/>
    </xf>
    <xf numFmtId="2" fontId="0" fillId="0" borderId="2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wrapText="1"/>
    </xf>
    <xf numFmtId="2" fontId="6" fillId="5" borderId="1" xfId="0" applyNumberFormat="1" applyFon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left" vertical="center" wrapText="1"/>
    </xf>
    <xf numFmtId="2" fontId="4" fillId="3" borderId="2" xfId="0" applyNumberFormat="1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2" fontId="6" fillId="5" borderId="2" xfId="0" applyNumberFormat="1" applyFont="1" applyFill="1" applyBorder="1" applyAlignment="1">
      <alignment horizontal="left" vertical="center" wrapText="1"/>
    </xf>
    <xf numFmtId="2" fontId="6" fillId="5" borderId="3" xfId="0" applyNumberFormat="1" applyFont="1" applyFill="1" applyBorder="1" applyAlignment="1">
      <alignment horizontal="left" vertical="center" wrapText="1"/>
    </xf>
    <xf numFmtId="2" fontId="6" fillId="5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2" fontId="1" fillId="3" borderId="2" xfId="0" applyNumberFormat="1" applyFont="1" applyFill="1" applyBorder="1" applyAlignment="1">
      <alignment horizontal="center" vertical="center" wrapText="1"/>
    </xf>
    <xf numFmtId="2" fontId="1" fillId="3" borderId="3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left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4" fillId="6" borderId="2" xfId="0" applyNumberFormat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6" fillId="3" borderId="2" xfId="0" applyNumberFormat="1" applyFont="1" applyFill="1" applyBorder="1" applyAlignment="1">
      <alignment horizontal="center" vertical="center" wrapText="1"/>
    </xf>
    <xf numFmtId="2" fontId="6" fillId="3" borderId="3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left" vertical="center" wrapText="1"/>
    </xf>
    <xf numFmtId="2" fontId="6" fillId="0" borderId="3" xfId="0" applyNumberFormat="1" applyFont="1" applyBorder="1" applyAlignment="1">
      <alignment horizontal="left" vertical="center" wrapText="1"/>
    </xf>
    <xf numFmtId="2" fontId="6" fillId="0" borderId="4" xfId="0" applyNumberFormat="1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8" fillId="2" borderId="29" xfId="0" applyFont="1" applyFill="1" applyBorder="1" applyAlignment="1">
      <alignment horizontal="center"/>
    </xf>
    <xf numFmtId="2" fontId="8" fillId="2" borderId="30" xfId="0" applyNumberFormat="1" applyFont="1" applyFill="1" applyBorder="1" applyAlignment="1">
      <alignment horizontal="left" vertical="center"/>
    </xf>
    <xf numFmtId="0" fontId="8" fillId="2" borderId="31" xfId="0" applyFont="1" applyFill="1" applyBorder="1" applyAlignment="1">
      <alignment horizontal="left" vertical="center"/>
    </xf>
    <xf numFmtId="0" fontId="8" fillId="2" borderId="32" xfId="0" applyFont="1" applyFill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4" fontId="8" fillId="2" borderId="6" xfId="2" applyNumberFormat="1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left" vertical="center"/>
    </xf>
    <xf numFmtId="0" fontId="8" fillId="2" borderId="35" xfId="0" applyFont="1" applyFill="1" applyBorder="1" applyAlignment="1">
      <alignment horizontal="right"/>
    </xf>
    <xf numFmtId="0" fontId="8" fillId="2" borderId="6" xfId="0" applyFont="1" applyFill="1" applyBorder="1" applyAlignment="1">
      <alignment horizontal="right"/>
    </xf>
    <xf numFmtId="0" fontId="8" fillId="2" borderId="38" xfId="0" applyFont="1" applyFill="1" applyBorder="1" applyAlignment="1">
      <alignment horizontal="right"/>
    </xf>
    <xf numFmtId="0" fontId="8" fillId="2" borderId="0" xfId="0" applyFont="1" applyFill="1" applyAlignment="1">
      <alignment horizontal="center"/>
    </xf>
    <xf numFmtId="2" fontId="8" fillId="2" borderId="48" xfId="0" applyNumberFormat="1" applyFont="1" applyFill="1" applyBorder="1" applyAlignment="1">
      <alignment horizontal="left" vertical="center"/>
    </xf>
    <xf numFmtId="2" fontId="8" fillId="2" borderId="49" xfId="0" applyNumberFormat="1" applyFont="1" applyFill="1" applyBorder="1" applyAlignment="1">
      <alignment horizontal="left" vertical="center"/>
    </xf>
    <xf numFmtId="2" fontId="8" fillId="2" borderId="50" xfId="0" applyNumberFormat="1" applyFont="1" applyFill="1" applyBorder="1" applyAlignment="1">
      <alignment horizontal="left" vertical="center"/>
    </xf>
    <xf numFmtId="2" fontId="8" fillId="2" borderId="40" xfId="0" applyNumberFormat="1" applyFont="1" applyFill="1" applyBorder="1" applyAlignment="1">
      <alignment horizontal="left" vertical="center"/>
    </xf>
    <xf numFmtId="2" fontId="8" fillId="2" borderId="41" xfId="0" applyNumberFormat="1" applyFont="1" applyFill="1" applyBorder="1" applyAlignment="1">
      <alignment horizontal="left" vertical="center"/>
    </xf>
    <xf numFmtId="2" fontId="8" fillId="2" borderId="42" xfId="0" applyNumberFormat="1" applyFont="1" applyFill="1" applyBorder="1" applyAlignment="1">
      <alignment horizontal="left" vertical="center"/>
    </xf>
    <xf numFmtId="4" fontId="8" fillId="2" borderId="47" xfId="2" applyNumberFormat="1" applyFont="1" applyFill="1" applyBorder="1" applyAlignment="1">
      <alignment horizontal="center" vertical="center"/>
    </xf>
    <xf numFmtId="4" fontId="8" fillId="2" borderId="35" xfId="2" applyNumberFormat="1" applyFont="1" applyFill="1" applyBorder="1" applyAlignment="1">
      <alignment horizontal="center" vertical="center"/>
    </xf>
    <xf numFmtId="4" fontId="8" fillId="0" borderId="48" xfId="0" applyNumberFormat="1" applyFont="1" applyBorder="1" applyAlignment="1">
      <alignment horizontal="left" vertical="center"/>
    </xf>
    <xf numFmtId="0" fontId="8" fillId="0" borderId="49" xfId="0" applyFont="1" applyBorder="1" applyAlignment="1">
      <alignment horizontal="left" vertical="center"/>
    </xf>
    <xf numFmtId="0" fontId="8" fillId="0" borderId="50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left" vertical="center"/>
    </xf>
    <xf numFmtId="4" fontId="7" fillId="2" borderId="12" xfId="0" applyNumberFormat="1" applyFont="1" applyFill="1" applyBorder="1" applyAlignment="1">
      <alignment horizontal="center" vertical="center"/>
    </xf>
    <xf numFmtId="4" fontId="7" fillId="2" borderId="13" xfId="0" applyNumberFormat="1" applyFont="1" applyFill="1" applyBorder="1" applyAlignment="1">
      <alignment horizontal="center" vertical="center"/>
    </xf>
    <xf numFmtId="4" fontId="7" fillId="2" borderId="14" xfId="0" applyNumberFormat="1" applyFont="1" applyFill="1" applyBorder="1" applyAlignment="1">
      <alignment horizontal="center" vertical="center"/>
    </xf>
    <xf numFmtId="4" fontId="7" fillId="2" borderId="15" xfId="0" applyNumberFormat="1" applyFont="1" applyFill="1" applyBorder="1" applyAlignment="1">
      <alignment horizontal="center" vertical="center"/>
    </xf>
    <xf numFmtId="4" fontId="7" fillId="2" borderId="16" xfId="0" applyNumberFormat="1" applyFont="1" applyFill="1" applyBorder="1" applyAlignment="1">
      <alignment horizontal="center" vertical="center"/>
    </xf>
    <xf numFmtId="4" fontId="7" fillId="2" borderId="17" xfId="0" applyNumberFormat="1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/>
    </xf>
    <xf numFmtId="0" fontId="8" fillId="2" borderId="28" xfId="0" applyFont="1" applyFill="1" applyBorder="1" applyAlignment="1">
      <alignment horizontal="center"/>
    </xf>
    <xf numFmtId="2" fontId="8" fillId="2" borderId="8" xfId="0" applyNumberFormat="1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4" fontId="8" fillId="2" borderId="5" xfId="2" applyNumberFormat="1" applyFont="1" applyFill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0" fontId="8" fillId="2" borderId="34" xfId="0" applyFont="1" applyFill="1" applyBorder="1" applyAlignment="1">
      <alignment horizontal="center"/>
    </xf>
    <xf numFmtId="0" fontId="8" fillId="2" borderId="41" xfId="0" applyFont="1" applyFill="1" applyBorder="1" applyAlignment="1">
      <alignment horizontal="left" vertical="center"/>
    </xf>
    <xf numFmtId="0" fontId="8" fillId="2" borderId="42" xfId="0" applyFont="1" applyFill="1" applyBorder="1" applyAlignment="1">
      <alignment horizontal="left" vertical="center"/>
    </xf>
  </cellXfs>
  <cellStyles count="3">
    <cellStyle name="Normal" xfId="0" builtinId="0"/>
    <cellStyle name="Porcentagem" xfId="1" builtinId="5"/>
    <cellStyle name="Vírgula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0</xdr:row>
      <xdr:rowOff>676275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4C93D805-03F1-4441-92D4-78BF676C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382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n&#237;cius%20Modesto/Desktop/PC%20Vin&#237;cius/prefeitura%20municipal%20de%20Novorizonte/Servi&#231;os/casa%20de%20vel&#243;rio/final/Planilha%20Or&#231;ament&#225;ria%20-%20Casa%20de%20Vel&#243;rio%20Novorizon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orçamentária"/>
      <sheetName val="memória de cálculo"/>
      <sheetName val=" CRNOGRAMA 1"/>
    </sheetNames>
    <sheetDataSet>
      <sheetData sheetId="0">
        <row r="127">
          <cell r="A127" t="str">
            <v>NOVORIZONTE-MG, 25/06/2020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tabSelected="1" view="pageBreakPreview" zoomScaleNormal="100" zoomScaleSheetLayoutView="100" workbookViewId="0">
      <selection activeCell="C7" sqref="C7"/>
    </sheetView>
  </sheetViews>
  <sheetFormatPr defaultColWidth="8.85546875" defaultRowHeight="15" x14ac:dyDescent="0.25"/>
  <cols>
    <col min="1" max="1" width="7.42578125" style="48" customWidth="1"/>
    <col min="2" max="2" width="10.28515625" style="48" customWidth="1"/>
    <col min="3" max="3" width="73.42578125" style="85" customWidth="1"/>
    <col min="4" max="4" width="6.5703125" style="48" customWidth="1"/>
    <col min="5" max="5" width="8.5703125" style="81" customWidth="1"/>
    <col min="6" max="6" width="9.140625" style="48"/>
    <col min="7" max="7" width="10.7109375" style="51" customWidth="1"/>
    <col min="8" max="8" width="11.140625" style="51" customWidth="1"/>
    <col min="9" max="9" width="10.140625" style="48" bestFit="1" customWidth="1"/>
    <col min="10" max="156" width="9.140625" style="48" customWidth="1"/>
    <col min="157" max="16384" width="8.85546875" style="48"/>
  </cols>
  <sheetData>
    <row r="1" spans="1:9" ht="26.25" x14ac:dyDescent="0.4">
      <c r="A1" s="120" t="s">
        <v>18</v>
      </c>
      <c r="B1" s="121"/>
      <c r="C1" s="121"/>
      <c r="D1" s="121"/>
      <c r="E1" s="121"/>
      <c r="F1" s="121"/>
      <c r="G1" s="121"/>
      <c r="H1" s="122"/>
    </row>
    <row r="2" spans="1:9" ht="18.75" x14ac:dyDescent="0.3">
      <c r="A2" s="123" t="s">
        <v>129</v>
      </c>
      <c r="B2" s="124"/>
      <c r="C2" s="124"/>
      <c r="D2" s="124"/>
      <c r="E2" s="124"/>
      <c r="F2" s="124"/>
      <c r="G2" s="124"/>
      <c r="H2" s="125"/>
    </row>
    <row r="3" spans="1:9" ht="15" customHeight="1" x14ac:dyDescent="0.25">
      <c r="A3" s="49" t="s">
        <v>19</v>
      </c>
      <c r="B3" s="130" t="s">
        <v>131</v>
      </c>
      <c r="C3" s="131"/>
      <c r="D3" s="131"/>
      <c r="E3" s="131"/>
      <c r="F3" s="132"/>
      <c r="G3" s="82" t="s">
        <v>21</v>
      </c>
      <c r="H3" s="50">
        <v>44007</v>
      </c>
    </row>
    <row r="4" spans="1:9" ht="15" customHeight="1" x14ac:dyDescent="0.25">
      <c r="A4" s="49" t="s">
        <v>20</v>
      </c>
      <c r="B4" s="133" t="s">
        <v>130</v>
      </c>
      <c r="C4" s="134"/>
      <c r="D4" s="134"/>
      <c r="E4" s="134"/>
      <c r="F4" s="135"/>
      <c r="G4" s="83" t="s">
        <v>22</v>
      </c>
      <c r="H4" s="52">
        <v>0.20899999999999999</v>
      </c>
    </row>
    <row r="5" spans="1:9" ht="30" x14ac:dyDescent="0.25">
      <c r="A5" s="58" t="s">
        <v>0</v>
      </c>
      <c r="B5" s="58" t="s">
        <v>83</v>
      </c>
      <c r="C5" s="59" t="s">
        <v>85</v>
      </c>
      <c r="D5" s="59" t="s">
        <v>23</v>
      </c>
      <c r="E5" s="74" t="s">
        <v>27</v>
      </c>
      <c r="F5" s="39" t="s">
        <v>48</v>
      </c>
      <c r="G5" s="39" t="s">
        <v>49</v>
      </c>
      <c r="H5" s="39" t="s">
        <v>46</v>
      </c>
    </row>
    <row r="6" spans="1:9" x14ac:dyDescent="0.25">
      <c r="A6" s="65">
        <v>1</v>
      </c>
      <c r="B6" s="66"/>
      <c r="C6" s="67" t="s">
        <v>78</v>
      </c>
      <c r="D6" s="67"/>
      <c r="E6" s="75"/>
      <c r="F6" s="68"/>
      <c r="G6" s="69"/>
      <c r="H6" s="69"/>
    </row>
    <row r="7" spans="1:9" ht="60" x14ac:dyDescent="0.25">
      <c r="A7" s="40" t="s">
        <v>51</v>
      </c>
      <c r="B7" s="45" t="s">
        <v>132</v>
      </c>
      <c r="C7" s="87" t="s">
        <v>133</v>
      </c>
      <c r="D7" s="42" t="s">
        <v>23</v>
      </c>
      <c r="E7" s="88">
        <f>'MEMÓRIA DE CÁLCULO'!I3</f>
        <v>1</v>
      </c>
      <c r="F7" s="43">
        <v>483.23</v>
      </c>
      <c r="G7" s="43">
        <f t="shared" ref="G7:G36" si="0">ROUND(F7*H$4+F7,2)</f>
        <v>584.23</v>
      </c>
      <c r="H7" s="43">
        <f>ROUND(G7*E7,2)</f>
        <v>584.23</v>
      </c>
    </row>
    <row r="8" spans="1:9" ht="30" x14ac:dyDescent="0.25">
      <c r="A8" s="40" t="s">
        <v>81</v>
      </c>
      <c r="B8" s="45" t="s">
        <v>142</v>
      </c>
      <c r="C8" s="87" t="s">
        <v>141</v>
      </c>
      <c r="D8" s="42" t="s">
        <v>1</v>
      </c>
      <c r="E8" s="88">
        <f>'MEMÓRIA DE CÁLCULO'!I4</f>
        <v>11</v>
      </c>
      <c r="F8" s="43">
        <v>325</v>
      </c>
      <c r="G8" s="43">
        <f t="shared" si="0"/>
        <v>392.93</v>
      </c>
      <c r="H8" s="43">
        <f t="shared" ref="H8" si="1">ROUND(G8*E8,2)</f>
        <v>4322.2299999999996</v>
      </c>
    </row>
    <row r="9" spans="1:9" ht="30" x14ac:dyDescent="0.25">
      <c r="A9" s="40" t="s">
        <v>82</v>
      </c>
      <c r="B9" s="45" t="s">
        <v>140</v>
      </c>
      <c r="C9" s="87" t="s">
        <v>139</v>
      </c>
      <c r="D9" s="42" t="s">
        <v>5</v>
      </c>
      <c r="E9" s="88">
        <f>'MEMÓRIA DE CÁLCULO'!I5</f>
        <v>38</v>
      </c>
      <c r="F9" s="43">
        <v>7.4</v>
      </c>
      <c r="G9" s="43">
        <f t="shared" ref="G9" si="2">ROUND(F9*H$4+F9,2)</f>
        <v>8.9499999999999993</v>
      </c>
      <c r="H9" s="43">
        <f t="shared" ref="H9" si="3">ROUND(G9*E9,2)</f>
        <v>340.1</v>
      </c>
    </row>
    <row r="10" spans="1:9" x14ac:dyDescent="0.25">
      <c r="A10" s="40" t="s">
        <v>143</v>
      </c>
      <c r="B10" s="45" t="s">
        <v>94</v>
      </c>
      <c r="C10" s="41" t="s">
        <v>93</v>
      </c>
      <c r="D10" s="42" t="s">
        <v>1</v>
      </c>
      <c r="E10" s="88">
        <f>'MEMÓRIA DE CÁLCULO'!I6</f>
        <v>120</v>
      </c>
      <c r="F10" s="43">
        <v>6</v>
      </c>
      <c r="G10" s="43">
        <f t="shared" si="0"/>
        <v>7.25</v>
      </c>
      <c r="H10" s="43">
        <f t="shared" ref="H10" si="4">ROUND(G10*E10,2)</f>
        <v>870</v>
      </c>
    </row>
    <row r="11" spans="1:9" x14ac:dyDescent="0.25">
      <c r="A11" s="53"/>
      <c r="B11" s="62"/>
      <c r="C11" s="84"/>
      <c r="D11" s="53"/>
      <c r="E11" s="76" t="s">
        <v>2</v>
      </c>
      <c r="F11" s="53"/>
      <c r="G11" s="43"/>
      <c r="H11" s="54">
        <f>SUM(H7:H10)</f>
        <v>6116.5599999999995</v>
      </c>
    </row>
    <row r="12" spans="1:9" x14ac:dyDescent="0.25">
      <c r="A12" s="65">
        <v>2</v>
      </c>
      <c r="B12" s="66"/>
      <c r="C12" s="67" t="s">
        <v>3</v>
      </c>
      <c r="D12" s="67"/>
      <c r="E12" s="75"/>
      <c r="F12" s="68"/>
      <c r="G12" s="69"/>
      <c r="H12" s="69"/>
    </row>
    <row r="13" spans="1:9" x14ac:dyDescent="0.25">
      <c r="A13" s="40" t="s">
        <v>58</v>
      </c>
      <c r="B13" s="89" t="s">
        <v>134</v>
      </c>
      <c r="C13" s="90" t="s">
        <v>135</v>
      </c>
      <c r="D13" s="42" t="s">
        <v>4</v>
      </c>
      <c r="E13" s="64">
        <f>'MEMÓRIA DE CÁLCULO'!I8</f>
        <v>4.3520000000000003</v>
      </c>
      <c r="F13" s="43">
        <v>44.2</v>
      </c>
      <c r="G13" s="43">
        <f t="shared" si="0"/>
        <v>53.44</v>
      </c>
      <c r="H13" s="43">
        <f>ROUND(G13*E13,2)</f>
        <v>232.57</v>
      </c>
    </row>
    <row r="14" spans="1:9" x14ac:dyDescent="0.25">
      <c r="A14" s="40" t="s">
        <v>57</v>
      </c>
      <c r="B14" s="45" t="s">
        <v>104</v>
      </c>
      <c r="C14" s="44" t="s">
        <v>105</v>
      </c>
      <c r="D14" s="42" t="s">
        <v>5</v>
      </c>
      <c r="E14" s="64">
        <f>'MEMÓRIA DE CÁLCULO'!I9</f>
        <v>42</v>
      </c>
      <c r="F14" s="43">
        <v>37.5</v>
      </c>
      <c r="G14" s="43">
        <f t="shared" si="0"/>
        <v>45.34</v>
      </c>
      <c r="H14" s="43">
        <f>ROUND(G14*E14,2)</f>
        <v>1904.28</v>
      </c>
    </row>
    <row r="15" spans="1:9" ht="16.899999999999999" customHeight="1" x14ac:dyDescent="0.25">
      <c r="A15" s="40" t="s">
        <v>59</v>
      </c>
      <c r="B15" s="89" t="s">
        <v>136</v>
      </c>
      <c r="C15" s="90" t="s">
        <v>137</v>
      </c>
      <c r="D15" s="42" t="s">
        <v>1</v>
      </c>
      <c r="E15" s="64">
        <f>'MEMÓRIA DE CÁLCULO'!I10</f>
        <v>6.24</v>
      </c>
      <c r="F15" s="43">
        <v>6.9</v>
      </c>
      <c r="G15" s="43">
        <f t="shared" ref="G15" si="5">ROUND(F15*H$4+F15,2)</f>
        <v>8.34</v>
      </c>
      <c r="H15" s="43">
        <f>ROUND(G15*E15,2)</f>
        <v>52.04</v>
      </c>
    </row>
    <row r="16" spans="1:9" x14ac:dyDescent="0.25">
      <c r="A16" s="53"/>
      <c r="B16" s="62"/>
      <c r="C16" s="84"/>
      <c r="D16" s="53"/>
      <c r="E16" s="76" t="s">
        <v>2</v>
      </c>
      <c r="F16" s="53"/>
      <c r="G16" s="43"/>
      <c r="H16" s="54">
        <f>SUM(H12:H15)</f>
        <v>2188.89</v>
      </c>
      <c r="I16" s="51"/>
    </row>
    <row r="17" spans="1:9" s="72" customFormat="1" x14ac:dyDescent="0.25">
      <c r="A17" s="65">
        <v>3</v>
      </c>
      <c r="B17" s="70"/>
      <c r="C17" s="67" t="s">
        <v>8</v>
      </c>
      <c r="D17" s="71"/>
      <c r="E17" s="75"/>
      <c r="F17" s="68"/>
      <c r="G17" s="69"/>
      <c r="H17" s="69"/>
    </row>
    <row r="18" spans="1:9" ht="30" x14ac:dyDescent="0.25">
      <c r="A18" s="40" t="s">
        <v>60</v>
      </c>
      <c r="B18" s="45">
        <v>96619</v>
      </c>
      <c r="C18" s="44" t="s">
        <v>95</v>
      </c>
      <c r="D18" s="42" t="s">
        <v>1</v>
      </c>
      <c r="E18" s="64">
        <f>'MEMÓRIA DE CÁLCULO'!I12</f>
        <v>6.24</v>
      </c>
      <c r="F18" s="43">
        <v>20.5</v>
      </c>
      <c r="G18" s="43">
        <f t="shared" si="0"/>
        <v>24.78</v>
      </c>
      <c r="H18" s="43">
        <f t="shared" ref="H18" si="6">ROUND(G18*E18,2)</f>
        <v>154.63</v>
      </c>
    </row>
    <row r="19" spans="1:9" x14ac:dyDescent="0.25">
      <c r="A19" s="40" t="s">
        <v>61</v>
      </c>
      <c r="B19" s="45" t="s">
        <v>97</v>
      </c>
      <c r="C19" s="41" t="s">
        <v>96</v>
      </c>
      <c r="D19" s="42" t="s">
        <v>1</v>
      </c>
      <c r="E19" s="64">
        <f>'MEMÓRIA DE CÁLCULO'!I13</f>
        <v>28.160000000000004</v>
      </c>
      <c r="F19" s="43">
        <v>39.5</v>
      </c>
      <c r="G19" s="43">
        <f t="shared" si="0"/>
        <v>47.76</v>
      </c>
      <c r="H19" s="43">
        <f t="shared" ref="H19:H22" si="7">ROUND(G19*E19,2)</f>
        <v>1344.92</v>
      </c>
    </row>
    <row r="20" spans="1:9" ht="15.6" customHeight="1" x14ac:dyDescent="0.25">
      <c r="A20" s="40" t="s">
        <v>62</v>
      </c>
      <c r="B20" s="45" t="str">
        <f>B27</f>
        <v>ARM-AÇO-020</v>
      </c>
      <c r="C20" s="41" t="str">
        <f>C27</f>
        <v>CORTE, DOBRA E ARMAÇÃO DE AÇO CA-50/60</v>
      </c>
      <c r="D20" s="42" t="s">
        <v>9</v>
      </c>
      <c r="E20" s="64">
        <f>'MEMÓRIA DE CÁLCULO'!I14</f>
        <v>577.80000000000007</v>
      </c>
      <c r="F20" s="43">
        <v>7.2</v>
      </c>
      <c r="G20" s="43">
        <f t="shared" si="0"/>
        <v>8.6999999999999993</v>
      </c>
      <c r="H20" s="43">
        <f>ROUND(G20*E20,2)</f>
        <v>5026.8599999999997</v>
      </c>
    </row>
    <row r="21" spans="1:9" ht="46.15" customHeight="1" x14ac:dyDescent="0.25">
      <c r="A21" s="40" t="s">
        <v>63</v>
      </c>
      <c r="B21" s="45" t="s">
        <v>101</v>
      </c>
      <c r="C21" s="41" t="s">
        <v>102</v>
      </c>
      <c r="D21" s="42" t="s">
        <v>4</v>
      </c>
      <c r="E21" s="64">
        <f>'MEMÓRIA DE CÁLCULO'!I15</f>
        <v>9.6272000000000002</v>
      </c>
      <c r="F21" s="43">
        <v>314.18</v>
      </c>
      <c r="G21" s="43">
        <f t="shared" si="0"/>
        <v>379.84</v>
      </c>
      <c r="H21" s="43">
        <f t="shared" si="7"/>
        <v>3656.8</v>
      </c>
    </row>
    <row r="22" spans="1:9" ht="30" x14ac:dyDescent="0.25">
      <c r="A22" s="40" t="s">
        <v>64</v>
      </c>
      <c r="B22" s="45" t="s">
        <v>100</v>
      </c>
      <c r="C22" s="41" t="s">
        <v>103</v>
      </c>
      <c r="D22" s="42" t="s">
        <v>4</v>
      </c>
      <c r="E22" s="64">
        <f>'MEMÓRIA DE CÁLCULO'!I16</f>
        <v>9.6272000000000002</v>
      </c>
      <c r="F22" s="43">
        <v>65.7</v>
      </c>
      <c r="G22" s="43">
        <f t="shared" si="0"/>
        <v>79.430000000000007</v>
      </c>
      <c r="H22" s="43">
        <f t="shared" si="7"/>
        <v>764.69</v>
      </c>
    </row>
    <row r="23" spans="1:9" ht="32.25" customHeight="1" x14ac:dyDescent="0.25">
      <c r="A23" s="40" t="s">
        <v>84</v>
      </c>
      <c r="B23" s="45" t="s">
        <v>52</v>
      </c>
      <c r="C23" s="55" t="s">
        <v>53</v>
      </c>
      <c r="D23" s="42" t="s">
        <v>1</v>
      </c>
      <c r="E23" s="64">
        <f>'MEMÓRIA DE CÁLCULO'!I17</f>
        <v>5.44</v>
      </c>
      <c r="F23" s="43">
        <v>9.1999999999999993</v>
      </c>
      <c r="G23" s="43">
        <f t="shared" si="0"/>
        <v>11.12</v>
      </c>
      <c r="H23" s="43">
        <f>ROUND(G23*E23,2)</f>
        <v>60.49</v>
      </c>
    </row>
    <row r="24" spans="1:9" x14ac:dyDescent="0.25">
      <c r="A24" s="53"/>
      <c r="B24" s="62"/>
      <c r="C24" s="84"/>
      <c r="D24" s="53"/>
      <c r="E24" s="77" t="s">
        <v>2</v>
      </c>
      <c r="F24" s="53"/>
      <c r="G24" s="43"/>
      <c r="H24" s="54">
        <f>SUM(H18:H23)</f>
        <v>11008.39</v>
      </c>
    </row>
    <row r="25" spans="1:9" s="72" customFormat="1" x14ac:dyDescent="0.25">
      <c r="A25" s="65">
        <v>4</v>
      </c>
      <c r="B25" s="70"/>
      <c r="C25" s="67" t="s">
        <v>89</v>
      </c>
      <c r="D25" s="71"/>
      <c r="E25" s="75"/>
      <c r="F25" s="68"/>
      <c r="G25" s="69"/>
      <c r="H25" s="69"/>
    </row>
    <row r="26" spans="1:9" ht="31.15" customHeight="1" x14ac:dyDescent="0.25">
      <c r="A26" s="40" t="s">
        <v>65</v>
      </c>
      <c r="B26" s="45">
        <v>92263</v>
      </c>
      <c r="C26" s="44" t="s">
        <v>108</v>
      </c>
      <c r="D26" s="42" t="s">
        <v>1</v>
      </c>
      <c r="E26" s="64">
        <f>'MEMÓRIA DE CÁLCULO'!I19</f>
        <v>69.88</v>
      </c>
      <c r="F26" s="43">
        <v>74.599999999999994</v>
      </c>
      <c r="G26" s="43">
        <f t="shared" si="0"/>
        <v>90.19</v>
      </c>
      <c r="H26" s="43">
        <f>ROUND(G26*E26,2)</f>
        <v>6302.48</v>
      </c>
    </row>
    <row r="27" spans="1:9" ht="15" customHeight="1" x14ac:dyDescent="0.25">
      <c r="A27" s="40" t="s">
        <v>66</v>
      </c>
      <c r="B27" s="45" t="s">
        <v>99</v>
      </c>
      <c r="C27" s="41" t="s">
        <v>98</v>
      </c>
      <c r="D27" s="42" t="s">
        <v>9</v>
      </c>
      <c r="E27" s="64">
        <f>'MEMÓRIA DE CÁLCULO'!I20</f>
        <v>1603.1999999999998</v>
      </c>
      <c r="F27" s="43">
        <f>+F20</f>
        <v>7.2</v>
      </c>
      <c r="G27" s="43">
        <f t="shared" si="0"/>
        <v>8.6999999999999993</v>
      </c>
      <c r="H27" s="43">
        <f>ROUND(G27*E27,2)</f>
        <v>13947.84</v>
      </c>
    </row>
    <row r="28" spans="1:9" ht="43.9" customHeight="1" x14ac:dyDescent="0.25">
      <c r="A28" s="40" t="s">
        <v>67</v>
      </c>
      <c r="B28" s="45" t="str">
        <f>B21</f>
        <v>ED-8486</v>
      </c>
      <c r="C28" s="41" t="str">
        <f>C21</f>
        <v>CONCRETO ESTRUTURAL, PREPARADO EM OBRA COM BETONEIRA, CONTROL"A",COM FCK 20 MPA, BRITA Nº (1 E 2), CONSISTÊNCIA PARA VIBRAÇÃO (FABRICAÇÃO)</v>
      </c>
      <c r="D28" s="42" t="s">
        <v>4</v>
      </c>
      <c r="E28" s="64">
        <f>'MEMÓRIA DE CÁLCULO'!I21</f>
        <v>26.716000000000001</v>
      </c>
      <c r="F28" s="43">
        <f>F21</f>
        <v>314.18</v>
      </c>
      <c r="G28" s="43">
        <f t="shared" si="0"/>
        <v>379.84</v>
      </c>
      <c r="H28" s="43">
        <f>ROUND(G28*E28,2)</f>
        <v>10147.81</v>
      </c>
    </row>
    <row r="29" spans="1:9" x14ac:dyDescent="0.25">
      <c r="A29" s="40" t="s">
        <v>68</v>
      </c>
      <c r="B29" s="45" t="s">
        <v>50</v>
      </c>
      <c r="C29" s="41" t="s">
        <v>86</v>
      </c>
      <c r="D29" s="42" t="s">
        <v>4</v>
      </c>
      <c r="E29" s="64">
        <f>'MEMÓRIA DE CÁLCULO'!I22</f>
        <v>26.716000000000001</v>
      </c>
      <c r="F29" s="43">
        <f>+F22</f>
        <v>65.7</v>
      </c>
      <c r="G29" s="43">
        <f t="shared" si="0"/>
        <v>79.430000000000007</v>
      </c>
      <c r="H29" s="43">
        <f t="shared" ref="H29" si="8">ROUND(G29*E29,2)</f>
        <v>2122.0500000000002</v>
      </c>
    </row>
    <row r="30" spans="1:9" x14ac:dyDescent="0.25">
      <c r="A30" s="53"/>
      <c r="B30" s="62"/>
      <c r="C30" s="84"/>
      <c r="D30" s="53"/>
      <c r="E30" s="77" t="s">
        <v>2</v>
      </c>
      <c r="F30" s="53"/>
      <c r="G30" s="43"/>
      <c r="H30" s="54">
        <f>SUM(H26:H29)</f>
        <v>32520.179999999997</v>
      </c>
    </row>
    <row r="31" spans="1:9" s="72" customFormat="1" x14ac:dyDescent="0.25">
      <c r="A31" s="65">
        <v>5</v>
      </c>
      <c r="B31" s="70"/>
      <c r="C31" s="67" t="s">
        <v>26</v>
      </c>
      <c r="D31" s="71"/>
      <c r="E31" s="75"/>
      <c r="F31" s="68"/>
      <c r="G31" s="69"/>
      <c r="H31" s="69"/>
    </row>
    <row r="32" spans="1:9" ht="30" x14ac:dyDescent="0.25">
      <c r="A32" s="40" t="s">
        <v>69</v>
      </c>
      <c r="B32" s="45" t="s">
        <v>106</v>
      </c>
      <c r="C32" s="41" t="s">
        <v>107</v>
      </c>
      <c r="D32" s="42" t="s">
        <v>9</v>
      </c>
      <c r="E32" s="78">
        <f>'MEMÓRIA DE CÁLCULO'!I24</f>
        <v>1400</v>
      </c>
      <c r="F32" s="46">
        <v>10.050000000000001</v>
      </c>
      <c r="G32" s="43">
        <f t="shared" si="0"/>
        <v>12.15</v>
      </c>
      <c r="H32" s="43">
        <f>ROUND(G32*E32,2)</f>
        <v>17010</v>
      </c>
      <c r="I32" s="51"/>
    </row>
    <row r="33" spans="1:9" ht="30" x14ac:dyDescent="0.25">
      <c r="A33" s="40" t="s">
        <v>70</v>
      </c>
      <c r="B33" s="45" t="s">
        <v>111</v>
      </c>
      <c r="C33" s="86" t="s">
        <v>128</v>
      </c>
      <c r="D33" s="42" t="s">
        <v>1</v>
      </c>
      <c r="E33" s="78">
        <f>'MEMÓRIA DE CÁLCULO'!I25</f>
        <v>58.68</v>
      </c>
      <c r="F33" s="43">
        <v>391</v>
      </c>
      <c r="G33" s="43">
        <f t="shared" si="0"/>
        <v>472.72</v>
      </c>
      <c r="H33" s="43">
        <f t="shared" ref="H33" si="9">ROUND(G33*E33,2)</f>
        <v>27739.21</v>
      </c>
      <c r="I33" s="51"/>
    </row>
    <row r="34" spans="1:9" x14ac:dyDescent="0.25">
      <c r="A34" s="40"/>
      <c r="B34" s="45"/>
      <c r="C34" s="41"/>
      <c r="D34" s="42"/>
      <c r="E34" s="77" t="s">
        <v>2</v>
      </c>
      <c r="F34" s="53"/>
      <c r="G34" s="43"/>
      <c r="H34" s="54">
        <f>SUM(H32:H33)</f>
        <v>44749.21</v>
      </c>
    </row>
    <row r="35" spans="1:9" s="72" customFormat="1" x14ac:dyDescent="0.25">
      <c r="A35" s="65">
        <v>6</v>
      </c>
      <c r="B35" s="70"/>
      <c r="C35" s="67" t="s">
        <v>10</v>
      </c>
      <c r="D35" s="71"/>
      <c r="E35" s="79"/>
      <c r="F35" s="68"/>
      <c r="G35" s="69"/>
      <c r="H35" s="69"/>
    </row>
    <row r="36" spans="1:9" ht="45" customHeight="1" x14ac:dyDescent="0.25">
      <c r="A36" s="40" t="s">
        <v>71</v>
      </c>
      <c r="B36" s="45">
        <v>87477</v>
      </c>
      <c r="C36" s="41" t="s">
        <v>110</v>
      </c>
      <c r="D36" s="42" t="s">
        <v>1</v>
      </c>
      <c r="E36" s="64">
        <f>'MEMÓRIA DE CÁLCULO'!I27</f>
        <v>138.83999999999997</v>
      </c>
      <c r="F36" s="43">
        <v>32.15</v>
      </c>
      <c r="G36" s="43">
        <f t="shared" si="0"/>
        <v>38.869999999999997</v>
      </c>
      <c r="H36" s="43">
        <f>ROUND(G36*E36,2)</f>
        <v>5396.71</v>
      </c>
    </row>
    <row r="37" spans="1:9" ht="15" customHeight="1" x14ac:dyDescent="0.25">
      <c r="A37" s="53"/>
      <c r="B37" s="62"/>
      <c r="C37" s="84"/>
      <c r="D37" s="53"/>
      <c r="E37" s="76" t="s">
        <v>2</v>
      </c>
      <c r="F37" s="53"/>
      <c r="G37" s="43"/>
      <c r="H37" s="54">
        <f>SUM(H36:H36)</f>
        <v>5396.71</v>
      </c>
    </row>
    <row r="38" spans="1:9" s="72" customFormat="1" ht="15" hidden="1" customHeight="1" x14ac:dyDescent="0.25">
      <c r="A38" s="65">
        <v>9</v>
      </c>
      <c r="B38" s="70"/>
      <c r="C38" s="67" t="s">
        <v>13</v>
      </c>
      <c r="D38" s="71"/>
      <c r="E38" s="75"/>
      <c r="F38" s="68"/>
      <c r="G38" s="69"/>
      <c r="H38" s="69"/>
    </row>
    <row r="39" spans="1:9" ht="30" hidden="1" customHeight="1" x14ac:dyDescent="0.25">
      <c r="A39" s="40" t="s">
        <v>16</v>
      </c>
      <c r="B39" s="45" t="s">
        <v>124</v>
      </c>
      <c r="C39" s="41" t="s">
        <v>123</v>
      </c>
      <c r="D39" s="42" t="str">
        <f>D41</f>
        <v>UN</v>
      </c>
      <c r="E39" s="64"/>
      <c r="F39" s="43">
        <v>16500</v>
      </c>
      <c r="G39" s="43">
        <f t="shared" ref="G39:G66" si="10">ROUND(F39*H$4+F39,2)</f>
        <v>19948.5</v>
      </c>
      <c r="H39" s="43">
        <f>ROUND(G39*E39,2)</f>
        <v>0</v>
      </c>
    </row>
    <row r="40" spans="1:9" ht="30" hidden="1" customHeight="1" x14ac:dyDescent="0.25">
      <c r="A40" s="40" t="s">
        <v>28</v>
      </c>
      <c r="B40" s="45" t="s">
        <v>77</v>
      </c>
      <c r="C40" s="41" t="s">
        <v>76</v>
      </c>
      <c r="D40" s="42" t="s">
        <v>12</v>
      </c>
      <c r="E40" s="64"/>
      <c r="F40" s="43">
        <v>88.53</v>
      </c>
      <c r="G40" s="43">
        <f t="shared" si="10"/>
        <v>107.03</v>
      </c>
      <c r="H40" s="43">
        <f t="shared" ref="H40:H45" si="11">ROUND(G40*E40,2)</f>
        <v>0</v>
      </c>
    </row>
    <row r="41" spans="1:9" ht="45" hidden="1" x14ac:dyDescent="0.25">
      <c r="A41" s="40" t="s">
        <v>72</v>
      </c>
      <c r="B41" s="45" t="s">
        <v>121</v>
      </c>
      <c r="C41" s="44" t="s">
        <v>120</v>
      </c>
      <c r="D41" s="42" t="s">
        <v>11</v>
      </c>
      <c r="E41" s="64"/>
      <c r="F41" s="43">
        <v>54</v>
      </c>
      <c r="G41" s="43">
        <f t="shared" si="10"/>
        <v>65.290000000000006</v>
      </c>
      <c r="H41" s="43">
        <f t="shared" si="11"/>
        <v>0</v>
      </c>
    </row>
    <row r="42" spans="1:9" hidden="1" x14ac:dyDescent="0.25">
      <c r="A42" s="40" t="s">
        <v>73</v>
      </c>
      <c r="B42" s="45">
        <v>83443</v>
      </c>
      <c r="C42" s="41" t="s">
        <v>54</v>
      </c>
      <c r="D42" s="42" t="s">
        <v>11</v>
      </c>
      <c r="E42" s="64"/>
      <c r="F42" s="43">
        <v>29.38</v>
      </c>
      <c r="G42" s="43">
        <f t="shared" si="10"/>
        <v>35.520000000000003</v>
      </c>
      <c r="H42" s="43">
        <f t="shared" si="11"/>
        <v>0</v>
      </c>
    </row>
    <row r="43" spans="1:9" ht="26.45" hidden="1" customHeight="1" x14ac:dyDescent="0.25">
      <c r="A43" s="40"/>
      <c r="B43" s="45">
        <v>96985</v>
      </c>
      <c r="C43" s="41" t="s">
        <v>122</v>
      </c>
      <c r="D43" s="42" t="s">
        <v>11</v>
      </c>
      <c r="E43" s="64"/>
      <c r="F43" s="43">
        <v>42.6</v>
      </c>
      <c r="G43" s="43">
        <f t="shared" ref="G43" si="12">ROUND(F43*H$4+F43,2)</f>
        <v>51.5</v>
      </c>
      <c r="H43" s="43">
        <f t="shared" ref="H43" si="13">ROUND(G43*E43,2)</f>
        <v>0</v>
      </c>
    </row>
    <row r="44" spans="1:9" ht="30" hidden="1" customHeight="1" x14ac:dyDescent="0.25">
      <c r="A44" s="40" t="s">
        <v>74</v>
      </c>
      <c r="B44" s="45" t="s">
        <v>24</v>
      </c>
      <c r="C44" s="41" t="s">
        <v>25</v>
      </c>
      <c r="D44" s="42" t="s">
        <v>11</v>
      </c>
      <c r="E44" s="64"/>
      <c r="F44" s="43">
        <v>8.33</v>
      </c>
      <c r="G44" s="43">
        <f t="shared" si="10"/>
        <v>10.07</v>
      </c>
      <c r="H44" s="43">
        <f t="shared" si="11"/>
        <v>0</v>
      </c>
    </row>
    <row r="45" spans="1:9" ht="30" hidden="1" customHeight="1" x14ac:dyDescent="0.25">
      <c r="A45" s="40" t="s">
        <v>75</v>
      </c>
      <c r="B45" s="45" t="s">
        <v>56</v>
      </c>
      <c r="C45" s="41" t="s">
        <v>55</v>
      </c>
      <c r="D45" s="42" t="s">
        <v>11</v>
      </c>
      <c r="E45" s="64"/>
      <c r="F45" s="43">
        <v>85.6</v>
      </c>
      <c r="G45" s="43">
        <f t="shared" si="10"/>
        <v>103.49</v>
      </c>
      <c r="H45" s="43">
        <f t="shared" si="11"/>
        <v>0</v>
      </c>
    </row>
    <row r="46" spans="1:9" ht="31.9" hidden="1" customHeight="1" x14ac:dyDescent="0.25">
      <c r="A46" s="40" t="s">
        <v>92</v>
      </c>
      <c r="B46" s="45" t="s">
        <v>91</v>
      </c>
      <c r="C46" s="44" t="s">
        <v>119</v>
      </c>
      <c r="D46" s="42" t="s">
        <v>11</v>
      </c>
      <c r="E46" s="64"/>
      <c r="F46" s="43">
        <v>1500</v>
      </c>
      <c r="G46" s="43">
        <f t="shared" ref="G46" si="14">ROUND(F46*H$4+F46,2)</f>
        <v>1813.5</v>
      </c>
      <c r="H46" s="43">
        <f t="shared" ref="H46" si="15">ROUND(G46*E46,2)</f>
        <v>0</v>
      </c>
    </row>
    <row r="47" spans="1:9" ht="15" hidden="1" customHeight="1" x14ac:dyDescent="0.25">
      <c r="A47" s="40"/>
      <c r="B47" s="45"/>
      <c r="C47" s="41"/>
      <c r="D47" s="42"/>
      <c r="E47" s="64"/>
      <c r="F47" s="43"/>
      <c r="G47" s="43"/>
      <c r="H47" s="43"/>
    </row>
    <row r="48" spans="1:9" ht="15" hidden="1" customHeight="1" x14ac:dyDescent="0.25">
      <c r="A48" s="53"/>
      <c r="B48" s="62"/>
      <c r="C48" s="84"/>
      <c r="D48" s="53"/>
      <c r="E48" s="77" t="e">
        <f>#REF!</f>
        <v>#REF!</v>
      </c>
      <c r="F48" s="53"/>
      <c r="G48" s="43"/>
      <c r="H48" s="54">
        <f>SUM(H39:H47)</f>
        <v>0</v>
      </c>
    </row>
    <row r="49" spans="1:8" ht="15" customHeight="1" x14ac:dyDescent="0.25">
      <c r="A49" s="53"/>
      <c r="B49" s="62"/>
      <c r="C49" s="84"/>
      <c r="D49" s="53"/>
      <c r="E49" s="77"/>
      <c r="F49" s="53"/>
      <c r="G49" s="43"/>
      <c r="H49" s="54"/>
    </row>
    <row r="50" spans="1:8" ht="15" customHeight="1" x14ac:dyDescent="0.25">
      <c r="A50" s="116">
        <v>7</v>
      </c>
      <c r="B50" s="114"/>
      <c r="C50" s="115" t="s">
        <v>171</v>
      </c>
      <c r="D50" s="114"/>
      <c r="E50" s="114"/>
      <c r="F50" s="114"/>
      <c r="G50" s="114"/>
      <c r="H50" s="114"/>
    </row>
    <row r="51" spans="1:8" ht="15" customHeight="1" x14ac:dyDescent="0.25">
      <c r="A51" s="117" t="s">
        <v>7</v>
      </c>
      <c r="B51" s="62"/>
      <c r="C51" s="84" t="s">
        <v>180</v>
      </c>
      <c r="D51" s="117" t="s">
        <v>11</v>
      </c>
      <c r="E51" s="64">
        <f>'MEMÓRIA DE CÁLCULO'!I29</f>
        <v>5</v>
      </c>
      <c r="F51" s="118">
        <v>302.5</v>
      </c>
      <c r="G51" s="118">
        <f>ROUND(F51*H$4+F51,2)</f>
        <v>365.72</v>
      </c>
      <c r="H51" s="118">
        <f>ROUND(G51*E51,2)</f>
        <v>1828.6</v>
      </c>
    </row>
    <row r="52" spans="1:8" ht="15" customHeight="1" x14ac:dyDescent="0.25">
      <c r="A52" s="117"/>
      <c r="B52" s="62"/>
      <c r="C52" s="84"/>
      <c r="D52" s="53"/>
      <c r="E52" s="77" t="s">
        <v>2</v>
      </c>
      <c r="F52" s="53"/>
      <c r="G52" s="43"/>
      <c r="H52" s="54">
        <f>SUM(H51)</f>
        <v>1828.6</v>
      </c>
    </row>
    <row r="53" spans="1:8" s="72" customFormat="1" ht="15" customHeight="1" x14ac:dyDescent="0.25">
      <c r="A53" s="65">
        <v>8</v>
      </c>
      <c r="B53" s="70"/>
      <c r="C53" s="67" t="s">
        <v>15</v>
      </c>
      <c r="D53" s="71"/>
      <c r="E53" s="75"/>
      <c r="F53" s="68"/>
      <c r="G53" s="69"/>
      <c r="H53" s="69"/>
    </row>
    <row r="54" spans="1:8" ht="42.6" customHeight="1" x14ac:dyDescent="0.25">
      <c r="A54" s="40" t="s">
        <v>14</v>
      </c>
      <c r="B54" s="45">
        <v>87879</v>
      </c>
      <c r="C54" s="41" t="s">
        <v>87</v>
      </c>
      <c r="D54" s="42" t="s">
        <v>1</v>
      </c>
      <c r="E54" s="64">
        <f>'MEMÓRIA DE CÁLCULO'!I31</f>
        <v>145.88</v>
      </c>
      <c r="F54" s="43">
        <v>2.8</v>
      </c>
      <c r="G54" s="43">
        <f t="shared" si="10"/>
        <v>3.39</v>
      </c>
      <c r="H54" s="43">
        <f>ROUND(G54*E54,2)</f>
        <v>494.53</v>
      </c>
    </row>
    <row r="55" spans="1:8" ht="57.6" customHeight="1" x14ac:dyDescent="0.25">
      <c r="A55" s="40" t="s">
        <v>172</v>
      </c>
      <c r="B55" s="45">
        <v>87529</v>
      </c>
      <c r="C55" s="41" t="s">
        <v>88</v>
      </c>
      <c r="D55" s="42" t="s">
        <v>1</v>
      </c>
      <c r="E55" s="64">
        <f>'MEMÓRIA DE CÁLCULO'!I32</f>
        <v>145.88</v>
      </c>
      <c r="F55" s="43">
        <v>23</v>
      </c>
      <c r="G55" s="43">
        <f t="shared" si="10"/>
        <v>27.81</v>
      </c>
      <c r="H55" s="43">
        <f>ROUND(G55*E55,2)</f>
        <v>4056.92</v>
      </c>
    </row>
    <row r="56" spans="1:8" ht="46.15" customHeight="1" x14ac:dyDescent="0.25">
      <c r="A56" s="40" t="s">
        <v>173</v>
      </c>
      <c r="B56" s="45" t="s">
        <v>109</v>
      </c>
      <c r="C56" s="41" t="s">
        <v>179</v>
      </c>
      <c r="D56" s="42" t="s">
        <v>1</v>
      </c>
      <c r="E56" s="64">
        <f>'MEMÓRIA DE CÁLCULO'!I33</f>
        <v>145.88</v>
      </c>
      <c r="F56" s="43">
        <v>44.5</v>
      </c>
      <c r="G56" s="43">
        <f t="shared" si="10"/>
        <v>53.8</v>
      </c>
      <c r="H56" s="43">
        <f t="shared" ref="H56" si="16">ROUND(G56*E56,2)</f>
        <v>7848.34</v>
      </c>
    </row>
    <row r="57" spans="1:8" ht="15" customHeight="1" x14ac:dyDescent="0.25">
      <c r="A57" s="53"/>
      <c r="B57" s="62"/>
      <c r="C57" s="84"/>
      <c r="D57" s="53"/>
      <c r="E57" s="77" t="s">
        <v>2</v>
      </c>
      <c r="F57" s="53"/>
      <c r="G57" s="43"/>
      <c r="H57" s="54">
        <f>SUM(H54:H56)</f>
        <v>12399.79</v>
      </c>
    </row>
    <row r="58" spans="1:8" s="72" customFormat="1" x14ac:dyDescent="0.25">
      <c r="A58" s="65">
        <v>9</v>
      </c>
      <c r="B58" s="70"/>
      <c r="C58" s="67" t="s">
        <v>125</v>
      </c>
      <c r="D58" s="71"/>
      <c r="E58" s="79"/>
      <c r="F58" s="68"/>
      <c r="G58" s="69"/>
      <c r="H58" s="69"/>
    </row>
    <row r="59" spans="1:8" ht="28.9" customHeight="1" x14ac:dyDescent="0.25">
      <c r="A59" s="40" t="s">
        <v>16</v>
      </c>
      <c r="B59" s="45" t="s">
        <v>126</v>
      </c>
      <c r="C59" s="41" t="s">
        <v>127</v>
      </c>
      <c r="D59" s="42" t="s">
        <v>1</v>
      </c>
      <c r="E59" s="64">
        <f>'MEMÓRIA DE CÁLCULO'!I35</f>
        <v>53.2</v>
      </c>
      <c r="F59" s="43">
        <v>29.5</v>
      </c>
      <c r="G59" s="43">
        <f t="shared" ref="G59" si="17">ROUND(F59*H$4+F59,2)</f>
        <v>35.67</v>
      </c>
      <c r="H59" s="43">
        <f>ROUND(G59*E59,2)</f>
        <v>1897.64</v>
      </c>
    </row>
    <row r="60" spans="1:8" ht="15" customHeight="1" x14ac:dyDescent="0.25">
      <c r="A60" s="53"/>
      <c r="B60" s="62"/>
      <c r="C60" s="84"/>
      <c r="D60" s="53"/>
      <c r="E60" s="76" t="s">
        <v>2</v>
      </c>
      <c r="F60" s="53"/>
      <c r="G60" s="43"/>
      <c r="H60" s="54">
        <f>SUM(H59:H59)</f>
        <v>1897.64</v>
      </c>
    </row>
    <row r="61" spans="1:8" s="72" customFormat="1" ht="15" customHeight="1" x14ac:dyDescent="0.25">
      <c r="A61" s="73">
        <v>10</v>
      </c>
      <c r="B61" s="70"/>
      <c r="C61" s="67" t="s">
        <v>6</v>
      </c>
      <c r="D61" s="71"/>
      <c r="E61" s="75"/>
      <c r="F61" s="68"/>
      <c r="G61" s="69"/>
      <c r="H61" s="69"/>
    </row>
    <row r="62" spans="1:8" s="72" customFormat="1" ht="30" customHeight="1" x14ac:dyDescent="0.25">
      <c r="A62" s="40" t="s">
        <v>174</v>
      </c>
      <c r="B62" s="45" t="s">
        <v>113</v>
      </c>
      <c r="C62" s="41" t="s">
        <v>112</v>
      </c>
      <c r="D62" s="42" t="s">
        <v>1</v>
      </c>
      <c r="E62" s="64">
        <f>'MEMÓRIA DE CÁLCULO'!I37</f>
        <v>8</v>
      </c>
      <c r="F62" s="43">
        <v>15.2</v>
      </c>
      <c r="G62" s="43">
        <f t="shared" ref="G62" si="18">ROUND(F62*H$4+F62,2)</f>
        <v>18.38</v>
      </c>
      <c r="H62" s="43">
        <f t="shared" ref="H62" si="19">ROUND(G62*E62,2)+0.01</f>
        <v>147.04999999999998</v>
      </c>
    </row>
    <row r="63" spans="1:8" s="72" customFormat="1" ht="15" customHeight="1" x14ac:dyDescent="0.25">
      <c r="A63" s="40" t="s">
        <v>175</v>
      </c>
      <c r="B63" s="45" t="s">
        <v>79</v>
      </c>
      <c r="C63" s="41" t="s">
        <v>80</v>
      </c>
      <c r="D63" s="42" t="s">
        <v>116</v>
      </c>
      <c r="E63" s="64">
        <f>'MEMÓRIA DE CÁLCULO'!I38</f>
        <v>8</v>
      </c>
      <c r="F63" s="43">
        <v>22</v>
      </c>
      <c r="G63" s="43">
        <f>ROUND(F63*H$4+F63,2)</f>
        <v>26.6</v>
      </c>
      <c r="H63" s="43">
        <f>ROUND(G63*E63,2)</f>
        <v>212.8</v>
      </c>
    </row>
    <row r="64" spans="1:8" s="72" customFormat="1" ht="30" customHeight="1" x14ac:dyDescent="0.25">
      <c r="A64" s="40" t="s">
        <v>176</v>
      </c>
      <c r="B64" s="45" t="s">
        <v>115</v>
      </c>
      <c r="C64" s="41" t="s">
        <v>114</v>
      </c>
      <c r="D64" s="42" t="s">
        <v>116</v>
      </c>
      <c r="E64" s="64">
        <f>'MEMÓRIA DE CÁLCULO'!I39</f>
        <v>6</v>
      </c>
      <c r="F64" s="43">
        <v>9</v>
      </c>
      <c r="G64" s="43">
        <f>ROUND(F64*H$4+F64,2)</f>
        <v>10.88</v>
      </c>
      <c r="H64" s="43">
        <f>ROUND(G64*E64,2)</f>
        <v>65.28</v>
      </c>
    </row>
    <row r="65" spans="1:9" s="72" customFormat="1" ht="15" customHeight="1" x14ac:dyDescent="0.25">
      <c r="A65" s="40" t="s">
        <v>177</v>
      </c>
      <c r="B65" s="45" t="s">
        <v>118</v>
      </c>
      <c r="C65" s="41" t="s">
        <v>117</v>
      </c>
      <c r="D65" s="42" t="s">
        <v>4</v>
      </c>
      <c r="E65" s="64">
        <f>'MEMÓRIA DE CÁLCULO'!I40</f>
        <v>1</v>
      </c>
      <c r="F65" s="43">
        <v>115.32</v>
      </c>
      <c r="G65" s="43">
        <f>ROUND(F65*H$4+F65,2)</f>
        <v>139.41999999999999</v>
      </c>
      <c r="H65" s="43">
        <f>ROUND(G65*E65,2)</f>
        <v>139.41999999999999</v>
      </c>
    </row>
    <row r="66" spans="1:9" ht="15" customHeight="1" x14ac:dyDescent="0.25">
      <c r="A66" s="40" t="s">
        <v>178</v>
      </c>
      <c r="B66" s="45">
        <v>9537</v>
      </c>
      <c r="C66" s="41" t="s">
        <v>17</v>
      </c>
      <c r="D66" s="42" t="s">
        <v>1</v>
      </c>
      <c r="E66" s="64">
        <f>'MEMÓRIA DE CÁLCULO'!I41</f>
        <v>120</v>
      </c>
      <c r="F66" s="43">
        <v>1.5</v>
      </c>
      <c r="G66" s="43">
        <f t="shared" si="10"/>
        <v>1.81</v>
      </c>
      <c r="H66" s="43">
        <f>ROUND(G66*E66,2)</f>
        <v>217.2</v>
      </c>
    </row>
    <row r="67" spans="1:9" x14ac:dyDescent="0.25">
      <c r="A67" s="53"/>
      <c r="B67" s="53"/>
      <c r="C67" s="84"/>
      <c r="D67" s="53"/>
      <c r="E67" s="76" t="s">
        <v>2</v>
      </c>
      <c r="F67" s="53"/>
      <c r="G67" s="43"/>
      <c r="H67" s="54">
        <f>SUM(H62:H66)</f>
        <v>781.75</v>
      </c>
    </row>
    <row r="68" spans="1:9" x14ac:dyDescent="0.25">
      <c r="A68" s="126" t="s">
        <v>47</v>
      </c>
      <c r="B68" s="127"/>
      <c r="C68" s="127"/>
      <c r="D68" s="127"/>
      <c r="E68" s="127"/>
      <c r="F68" s="128"/>
      <c r="G68" s="60"/>
      <c r="H68" s="61">
        <f>SUM(H6:H67)/2</f>
        <v>118887.72000000002</v>
      </c>
      <c r="I68" s="51"/>
    </row>
    <row r="69" spans="1:9" x14ac:dyDescent="0.25">
      <c r="A69" s="91" t="s">
        <v>29</v>
      </c>
      <c r="B69" s="92"/>
      <c r="C69" s="93" t="s">
        <v>138</v>
      </c>
      <c r="D69" s="57"/>
      <c r="E69" s="80"/>
      <c r="F69" s="51"/>
    </row>
    <row r="70" spans="1:9" x14ac:dyDescent="0.25">
      <c r="A70" s="56"/>
      <c r="B70" s="38"/>
      <c r="D70" s="63"/>
      <c r="E70" s="80"/>
      <c r="F70" s="51"/>
    </row>
    <row r="71" spans="1:9" x14ac:dyDescent="0.25">
      <c r="A71" s="136" t="str">
        <f>'MEMÓRIA DE CÁLCULO'!A43</f>
        <v>NOVORIZONTE-MG, 25/06/2020</v>
      </c>
      <c r="B71" s="136"/>
      <c r="C71" s="136"/>
      <c r="D71" s="63"/>
      <c r="E71" s="80"/>
      <c r="F71" s="51"/>
    </row>
    <row r="72" spans="1:9" x14ac:dyDescent="0.25">
      <c r="A72" s="56"/>
      <c r="B72" s="38"/>
      <c r="D72" s="63"/>
      <c r="E72" s="80"/>
      <c r="F72" s="51"/>
    </row>
    <row r="73" spans="1:9" x14ac:dyDescent="0.25">
      <c r="A73" s="129" t="s">
        <v>148</v>
      </c>
      <c r="B73" s="129"/>
      <c r="C73" s="129"/>
      <c r="D73" s="129"/>
      <c r="E73" s="129"/>
      <c r="F73" s="129"/>
      <c r="G73" s="129"/>
      <c r="H73" s="129"/>
    </row>
    <row r="74" spans="1:9" x14ac:dyDescent="0.25">
      <c r="A74" s="107"/>
      <c r="B74" s="107"/>
      <c r="C74" s="107"/>
      <c r="D74" s="107"/>
      <c r="E74" s="107"/>
      <c r="F74" s="107"/>
      <c r="G74" s="107"/>
      <c r="H74" s="107"/>
    </row>
  </sheetData>
  <mergeCells count="7">
    <mergeCell ref="A1:H1"/>
    <mergeCell ref="A2:H2"/>
    <mergeCell ref="A68:F68"/>
    <mergeCell ref="A73:H73"/>
    <mergeCell ref="B3:F3"/>
    <mergeCell ref="B4:F4"/>
    <mergeCell ref="A71:C71"/>
  </mergeCells>
  <phoneticPr fontId="19" type="noConversion"/>
  <printOptions horizontalCentered="1"/>
  <pageMargins left="0.39370078740157483" right="0.31496062992125984" top="0.59055118110236227" bottom="0.78740157480314965" header="0.31496062992125984" footer="0.31496062992125984"/>
  <pageSetup paperSize="9" scale="70" fitToHeight="0" orientation="portrait" r:id="rId1"/>
  <headerFooter>
    <oddFooter>Página &amp;P de &amp;N</oddFooter>
  </headerFooter>
  <rowBreaks count="1" manualBreakCount="1">
    <brk id="57" max="7" man="1"/>
  </rowBreaks>
  <colBreaks count="1" manualBreakCount="1">
    <brk id="8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25" workbookViewId="0">
      <selection activeCell="A30" sqref="A30:J30"/>
    </sheetView>
  </sheetViews>
  <sheetFormatPr defaultRowHeight="15" x14ac:dyDescent="0.25"/>
  <cols>
    <col min="3" max="3" width="32.140625" customWidth="1"/>
  </cols>
  <sheetData>
    <row r="1" spans="1:10" ht="61.5" customHeight="1" x14ac:dyDescent="0.25">
      <c r="A1" s="187" t="s">
        <v>144</v>
      </c>
      <c r="B1" s="188"/>
      <c r="C1" s="188"/>
      <c r="D1" s="188"/>
      <c r="E1" s="188"/>
      <c r="F1" s="188"/>
      <c r="G1" s="188"/>
      <c r="H1" s="188"/>
      <c r="I1" s="188"/>
      <c r="J1" s="189"/>
    </row>
    <row r="2" spans="1:10" x14ac:dyDescent="0.25">
      <c r="A2" s="149" t="str">
        <f>'Planilia Atualizada'!C6</f>
        <v>SERVIÇOS PRELIMINARES</v>
      </c>
      <c r="B2" s="150"/>
      <c r="C2" s="150"/>
      <c r="D2" s="150"/>
      <c r="E2" s="150"/>
      <c r="F2" s="150"/>
      <c r="G2" s="150"/>
      <c r="H2" s="150"/>
      <c r="I2" s="150"/>
      <c r="J2" s="151"/>
    </row>
    <row r="3" spans="1:10" ht="87" customHeight="1" x14ac:dyDescent="0.25">
      <c r="A3" s="138" t="str">
        <f>'Planilia Atualizada'!C7</f>
        <v>FORNECIMENTO E COLOCAÇÃO DE PLACA DE OBRA EM CHAPA GALVANIZADA (2,00 X 1,00 M) - EM CHAPA GALVANIZADA 0,26 AFIXADAS COM REBITES 540 E PARAFUSOS 3/8, EM ESTRUTURA METÁLICA VIGA U 2" ENRIJECIDA COM METALON 20X20, SUPORTE EM EUCALIPTO AUTOCLAVADO PINTADAS</v>
      </c>
      <c r="B3" s="139"/>
      <c r="C3" s="140"/>
      <c r="D3" s="94" t="str">
        <f>'Planilia Atualizada'!D7</f>
        <v>Und</v>
      </c>
      <c r="E3" s="141" t="s">
        <v>145</v>
      </c>
      <c r="F3" s="142"/>
      <c r="G3" s="142"/>
      <c r="H3" s="143"/>
      <c r="I3" s="144">
        <v>1</v>
      </c>
      <c r="J3" s="145"/>
    </row>
    <row r="4" spans="1:10" ht="42.75" customHeight="1" x14ac:dyDescent="0.25">
      <c r="A4" s="138" t="str">
        <f>'Planilia Atualizada'!C8</f>
        <v>BARRACÃO DE OBRA, EM CHAPA DE COMPENSADO RESINADO, INCLUSIVE INSTALAÇÕES SANITÁRIAS E MOBILIÁRIO - PADRÃO DEER-MG</v>
      </c>
      <c r="B4" s="139"/>
      <c r="C4" s="140"/>
      <c r="D4" s="94" t="str">
        <f>'Planilia Atualizada'!D8</f>
        <v>M2</v>
      </c>
      <c r="E4" s="141" t="s">
        <v>149</v>
      </c>
      <c r="F4" s="142"/>
      <c r="G4" s="142"/>
      <c r="H4" s="143"/>
      <c r="I4" s="144">
        <f>5*2.2</f>
        <v>11</v>
      </c>
      <c r="J4" s="145"/>
    </row>
    <row r="5" spans="1:10" ht="49.5" customHeight="1" x14ac:dyDescent="0.25">
      <c r="A5" s="138" t="str">
        <f>'Planilia Atualizada'!C9</f>
        <v>MONTAGEM E DESMONTAGEM DE ANDAIME METÁLICO TUBULAR TIPO TORRE, EXCLUSIVE FORNECIMENTO DO ANDAIME</v>
      </c>
      <c r="B5" s="139"/>
      <c r="C5" s="140"/>
      <c r="D5" s="94" t="str">
        <f>'Planilia Atualizada'!D9</f>
        <v>M</v>
      </c>
      <c r="E5" s="141" t="s">
        <v>150</v>
      </c>
      <c r="F5" s="142"/>
      <c r="G5" s="142"/>
      <c r="H5" s="143"/>
      <c r="I5" s="144">
        <f>9.5*4</f>
        <v>38</v>
      </c>
      <c r="J5" s="145"/>
    </row>
    <row r="6" spans="1:10" ht="23.25" customHeight="1" x14ac:dyDescent="0.25">
      <c r="A6" s="138" t="str">
        <f>'Planilia Atualizada'!C10</f>
        <v>LOCAÇÃO DA OBRA (GABARITO)</v>
      </c>
      <c r="B6" s="139"/>
      <c r="C6" s="140"/>
      <c r="D6" s="94" t="str">
        <f>'Planilia Atualizada'!D10</f>
        <v>M2</v>
      </c>
      <c r="E6" s="141" t="s">
        <v>151</v>
      </c>
      <c r="F6" s="142"/>
      <c r="G6" s="142"/>
      <c r="H6" s="143"/>
      <c r="I6" s="144">
        <f>20*6</f>
        <v>120</v>
      </c>
      <c r="J6" s="145"/>
    </row>
    <row r="7" spans="1:10" x14ac:dyDescent="0.25">
      <c r="A7" s="156" t="str">
        <f>'Planilia Atualizada'!C12</f>
        <v>MOVIMENTO DE TERRA</v>
      </c>
      <c r="B7" s="194"/>
      <c r="C7" s="194"/>
      <c r="D7" s="194"/>
      <c r="E7" s="194"/>
      <c r="F7" s="194"/>
      <c r="G7" s="194"/>
      <c r="H7" s="194"/>
      <c r="I7" s="194"/>
      <c r="J7" s="195"/>
    </row>
    <row r="8" spans="1:10" ht="17.25" customHeight="1" x14ac:dyDescent="0.25">
      <c r="A8" s="190" t="str">
        <f>'Planilia Atualizada'!C13</f>
        <v>ESCAVAÇÃO MANUAL DE VALAS H &lt;= 1,50 M</v>
      </c>
      <c r="B8" s="191"/>
      <c r="C8" s="192"/>
      <c r="D8" s="95" t="str">
        <f>'Planilia Atualizada'!D13</f>
        <v>M3</v>
      </c>
      <c r="E8" s="176" t="s">
        <v>152</v>
      </c>
      <c r="F8" s="176"/>
      <c r="G8" s="176"/>
      <c r="H8" s="176"/>
      <c r="I8" s="193">
        <f>1.2*2.4*0.8+0.8*0.8*0.8*4</f>
        <v>4.3520000000000003</v>
      </c>
      <c r="J8" s="193"/>
    </row>
    <row r="9" spans="1:10" ht="28.5" customHeight="1" x14ac:dyDescent="0.25">
      <c r="A9" s="190" t="str">
        <f>'Planilia Atualizada'!C14</f>
        <v>PERFURAÇÃO DE ESTACA BROCA A TRADO MECANIZADO D=400MM</v>
      </c>
      <c r="B9" s="191"/>
      <c r="C9" s="192"/>
      <c r="D9" s="95" t="str">
        <f>'Planilia Atualizada'!D14</f>
        <v>M</v>
      </c>
      <c r="E9" s="176" t="s">
        <v>153</v>
      </c>
      <c r="F9" s="176"/>
      <c r="G9" s="176"/>
      <c r="H9" s="176"/>
      <c r="I9" s="193">
        <f>7*6</f>
        <v>42</v>
      </c>
      <c r="J9" s="193"/>
    </row>
    <row r="10" spans="1:10" ht="33" customHeight="1" x14ac:dyDescent="0.25">
      <c r="A10" s="190" t="str">
        <f>'Planilia Atualizada'!C15</f>
        <v>REGULARIZAÇÃO E COMPACTAÇÃO DE TERRENO MANUAL, COM SOQUETE</v>
      </c>
      <c r="B10" s="191"/>
      <c r="C10" s="192"/>
      <c r="D10" s="95" t="str">
        <f>'Planilia Atualizada'!D15</f>
        <v>M2</v>
      </c>
      <c r="E10" s="159" t="s">
        <v>154</v>
      </c>
      <c r="F10" s="160"/>
      <c r="G10" s="160"/>
      <c r="H10" s="161"/>
      <c r="I10" s="193">
        <f>1.2*2.4+0.8+0.8*0.8*4</f>
        <v>6.24</v>
      </c>
      <c r="J10" s="193"/>
    </row>
    <row r="11" spans="1:10" x14ac:dyDescent="0.25">
      <c r="A11" s="196" t="str">
        <f>'Planilia Atualizada'!C17</f>
        <v>FUNDAÇÕES</v>
      </c>
      <c r="B11" s="197"/>
      <c r="C11" s="197"/>
      <c r="D11" s="197"/>
      <c r="E11" s="197"/>
      <c r="F11" s="197"/>
      <c r="G11" s="197"/>
      <c r="H11" s="197"/>
      <c r="I11" s="197"/>
      <c r="J11" s="198"/>
    </row>
    <row r="12" spans="1:10" ht="40.5" customHeight="1" x14ac:dyDescent="0.25">
      <c r="A12" s="148" t="str">
        <f>'Planilia Atualizada'!C18</f>
        <v>LASTRO DE CONCRETO MAGRO, APLICADO EM BLOCOS DE COROAMENTO OU SAPATAS, ESPESSURA DE 5 CM. AF_08/2017</v>
      </c>
      <c r="B12" s="166"/>
      <c r="C12" s="166"/>
      <c r="D12" s="96" t="str">
        <f>'Planilia Atualizada'!D18</f>
        <v>M2</v>
      </c>
      <c r="E12" s="146" t="s">
        <v>154</v>
      </c>
      <c r="F12" s="146"/>
      <c r="G12" s="146"/>
      <c r="H12" s="146"/>
      <c r="I12" s="181">
        <f>1.2*2.4+0.8+0.8*0.8*4</f>
        <v>6.24</v>
      </c>
      <c r="J12" s="181"/>
    </row>
    <row r="13" spans="1:10" ht="19.5" customHeight="1" x14ac:dyDescent="0.25">
      <c r="A13" s="148" t="str">
        <f>'Planilia Atualizada'!C19</f>
        <v>FORMA E DESFORMA EM TÁBUAS DE PINHO (3X)</v>
      </c>
      <c r="B13" s="166"/>
      <c r="C13" s="166"/>
      <c r="D13" s="96" t="str">
        <f>'Planilia Atualizada'!D19</f>
        <v>M2</v>
      </c>
      <c r="E13" s="160" t="s">
        <v>155</v>
      </c>
      <c r="F13" s="182"/>
      <c r="G13" s="182"/>
      <c r="H13" s="183"/>
      <c r="I13" s="144">
        <f>0.8*0.8*4*8+1.2*2.4*2+1.2*0.8*2</f>
        <v>28.160000000000004</v>
      </c>
      <c r="J13" s="173"/>
    </row>
    <row r="14" spans="1:10" ht="14.25" customHeight="1" x14ac:dyDescent="0.25">
      <c r="A14" s="148" t="str">
        <f>'Planilia Atualizada'!C20</f>
        <v>CORTE, DOBRA E ARMAÇÃO DE AÇO CA-50/60</v>
      </c>
      <c r="B14" s="166"/>
      <c r="C14" s="166"/>
      <c r="D14" s="96" t="str">
        <f>'Planilia Atualizada'!D20</f>
        <v>KG</v>
      </c>
      <c r="E14" s="159" t="s">
        <v>156</v>
      </c>
      <c r="F14" s="182"/>
      <c r="G14" s="182"/>
      <c r="H14" s="183"/>
      <c r="I14" s="172">
        <f>9.63*60</f>
        <v>577.80000000000007</v>
      </c>
      <c r="J14" s="173"/>
    </row>
    <row r="15" spans="1:10" ht="53.25" customHeight="1" x14ac:dyDescent="0.25">
      <c r="A15" s="148" t="str">
        <f>'Planilia Atualizada'!C21</f>
        <v>CONCRETO ESTRUTURAL, PREPARADO EM OBRA COM BETONEIRA, CONTROL"A",COM FCK 20 MPA, BRITA Nº (1 E 2), CONSISTÊNCIA PARA VIBRAÇÃO (FABRICAÇÃO)</v>
      </c>
      <c r="B15" s="166"/>
      <c r="C15" s="166"/>
      <c r="D15" s="96" t="str">
        <f>'Planilia Atualizada'!D21</f>
        <v>M3</v>
      </c>
      <c r="E15" s="176" t="s">
        <v>157</v>
      </c>
      <c r="F15" s="176"/>
      <c r="G15" s="176"/>
      <c r="H15" s="176"/>
      <c r="I15" s="177">
        <f>0.2*0.2*3.14*7*6+1.2*2.4*0.8+0.8*0.8*0.8*4</f>
        <v>9.6272000000000002</v>
      </c>
      <c r="J15" s="177"/>
    </row>
    <row r="16" spans="1:10" ht="38.25" customHeight="1" x14ac:dyDescent="0.25">
      <c r="A16" s="148" t="str">
        <f>'Planilia Atualizada'!C22</f>
        <v>LANÇAMENTO DE CONCRETO EM ESTRUTURA, INCLUSIVE TRANSPORTE ATÉ O LOCAL DE APLICAÇÃO, EXCLUSIVE APLICAÇÃO</v>
      </c>
      <c r="B16" s="166"/>
      <c r="C16" s="166"/>
      <c r="D16" s="96" t="str">
        <f>'Planilia Atualizada'!D22</f>
        <v>M3</v>
      </c>
      <c r="E16" s="176" t="s">
        <v>157</v>
      </c>
      <c r="F16" s="176"/>
      <c r="G16" s="176"/>
      <c r="H16" s="176"/>
      <c r="I16" s="177">
        <f>0.2*0.2*3.14*7*6+1.2*2.4*0.8+0.8*0.8*0.8*4</f>
        <v>9.6272000000000002</v>
      </c>
      <c r="J16" s="177"/>
    </row>
    <row r="17" spans="1:10" ht="39" customHeight="1" x14ac:dyDescent="0.25">
      <c r="A17" s="148" t="str">
        <f>'Planilia Atualizada'!C23</f>
        <v>IMPERMEABILIZACAO DE ESTRUTURAS ENTERRADAS, COM TINTA ASFALTICA, DUAS 
DEMAOS.</v>
      </c>
      <c r="B17" s="166"/>
      <c r="C17" s="166"/>
      <c r="D17" s="96" t="str">
        <f>'Planilia Atualizada'!D23</f>
        <v>M2</v>
      </c>
      <c r="E17" s="176" t="s">
        <v>158</v>
      </c>
      <c r="F17" s="176"/>
      <c r="G17" s="176"/>
      <c r="H17" s="176"/>
      <c r="I17" s="177">
        <f>0.4*3.4*4</f>
        <v>5.44</v>
      </c>
      <c r="J17" s="177"/>
    </row>
    <row r="18" spans="1:10" x14ac:dyDescent="0.25">
      <c r="A18" s="178" t="str">
        <f>'Planilia Atualizada'!C25</f>
        <v>ESTRUTURA</v>
      </c>
      <c r="B18" s="179"/>
      <c r="C18" s="179"/>
      <c r="D18" s="179"/>
      <c r="E18" s="179"/>
      <c r="F18" s="179"/>
      <c r="G18" s="179"/>
      <c r="H18" s="179"/>
      <c r="I18" s="179"/>
      <c r="J18" s="180"/>
    </row>
    <row r="19" spans="1:10" x14ac:dyDescent="0.25">
      <c r="A19" s="174" t="str">
        <f>'Planilia Atualizada'!C26</f>
        <v>FABRICAÇÃO DE FÔRMA PARA PILARES E ESTRUTURAS SIMILARES, EM CHAPA DE MADEIRA COMPENSADA RESINADA, E = 17 MM. AF_12/2015</v>
      </c>
      <c r="B19" s="175"/>
      <c r="C19" s="175"/>
      <c r="D19" s="94" t="str">
        <f>'Planilia Atualizada'!D26</f>
        <v>M2</v>
      </c>
      <c r="E19" s="159" t="s">
        <v>159</v>
      </c>
      <c r="F19" s="160"/>
      <c r="G19" s="160"/>
      <c r="H19" s="161"/>
      <c r="I19" s="177">
        <f>(9.2*2+2.3*3)*2*0.4*2+13.3*2+1.4*2</f>
        <v>69.88</v>
      </c>
      <c r="J19" s="177"/>
    </row>
    <row r="20" spans="1:10" ht="15" customHeight="1" x14ac:dyDescent="0.25">
      <c r="A20" s="174" t="str">
        <f>'Planilia Atualizada'!C27</f>
        <v>CORTE, DOBRA E ARMAÇÃO DE AÇO CA-50/60</v>
      </c>
      <c r="B20" s="175"/>
      <c r="C20" s="175"/>
      <c r="D20" s="94" t="str">
        <f>'Planilia Atualizada'!D27</f>
        <v>KG</v>
      </c>
      <c r="E20" s="176" t="s">
        <v>161</v>
      </c>
      <c r="F20" s="176"/>
      <c r="G20" s="176"/>
      <c r="H20" s="176"/>
      <c r="I20" s="177">
        <f>26.72*60</f>
        <v>1603.1999999999998</v>
      </c>
      <c r="J20" s="177"/>
    </row>
    <row r="21" spans="1:10" ht="15" customHeight="1" x14ac:dyDescent="0.25">
      <c r="A21" s="174" t="str">
        <f>'Planilia Atualizada'!C28</f>
        <v>CONCRETO ESTRUTURAL, PREPARADO EM OBRA COM BETONEIRA, CONTROL"A",COM FCK 20 MPA, BRITA Nº (1 E 2), CONSISTÊNCIA PARA VIBRAÇÃO (FABRICAÇÃO)</v>
      </c>
      <c r="B21" s="175"/>
      <c r="C21" s="175"/>
      <c r="D21" s="94" t="str">
        <f>'Planilia Atualizada'!D28</f>
        <v>M3</v>
      </c>
      <c r="E21" s="176" t="s">
        <v>160</v>
      </c>
      <c r="F21" s="176"/>
      <c r="G21" s="176"/>
      <c r="H21" s="176"/>
      <c r="I21" s="177">
        <f>(9.2*2+2.3*3)*2*0.4*0.4+13.3*1.4</f>
        <v>26.716000000000001</v>
      </c>
      <c r="J21" s="177"/>
    </row>
    <row r="22" spans="1:10" ht="15" customHeight="1" x14ac:dyDescent="0.25">
      <c r="A22" s="174" t="str">
        <f>'Planilia Atualizada'!C29</f>
        <v xml:space="preserve">LANÇAMENTO E ADENSAMENTO DE CONCRETO </v>
      </c>
      <c r="B22" s="175"/>
      <c r="C22" s="175"/>
      <c r="D22" s="94" t="str">
        <f>'Planilia Atualizada'!D29</f>
        <v>M3</v>
      </c>
      <c r="E22" s="176" t="s">
        <v>162</v>
      </c>
      <c r="F22" s="176"/>
      <c r="G22" s="176"/>
      <c r="H22" s="176"/>
      <c r="I22" s="172">
        <f>(9.2*2+2.3*3)*2*0.4*0.4+13.3*1.4</f>
        <v>26.716000000000001</v>
      </c>
      <c r="J22" s="173"/>
    </row>
    <row r="23" spans="1:10" x14ac:dyDescent="0.25">
      <c r="A23" s="149" t="str">
        <f>'Planilia Atualizada'!C31</f>
        <v>COBERTURA</v>
      </c>
      <c r="B23" s="150"/>
      <c r="C23" s="150"/>
      <c r="D23" s="150"/>
      <c r="E23" s="150"/>
      <c r="F23" s="150"/>
      <c r="G23" s="150"/>
      <c r="H23" s="150"/>
      <c r="I23" s="150"/>
      <c r="J23" s="151"/>
    </row>
    <row r="24" spans="1:10" ht="45.75" customHeight="1" x14ac:dyDescent="0.25">
      <c r="A24" s="138" t="str">
        <f>'Planilia Atualizada'!C32</f>
        <v>FORNECIMENTO, FABRICAÇÃO, TRANSPORTE E MONTAGEM DE ESTRUTURA METÁLICA EM PERFIS LAMINADOS, INCLUSIVE PINTURA PRIMER</v>
      </c>
      <c r="B24" s="139"/>
      <c r="C24" s="140"/>
      <c r="D24" s="94" t="str">
        <f>'Planilia Atualizada'!D32</f>
        <v>KG</v>
      </c>
      <c r="E24" s="141" t="s">
        <v>163</v>
      </c>
      <c r="F24" s="171"/>
      <c r="G24" s="171"/>
      <c r="H24" s="163"/>
      <c r="I24" s="172">
        <f>140*2*5</f>
        <v>1400</v>
      </c>
      <c r="J24" s="173"/>
    </row>
    <row r="25" spans="1:10" ht="42" customHeight="1" x14ac:dyDescent="0.25">
      <c r="A25" s="138" t="str">
        <f>'Planilia Atualizada'!C33</f>
        <v>CONFECÇÃO DE PLACA EM ALUMÍNIO COMPOSTO DE 3 MM, MODULADA, AÉREA, COM PELÍCULA CONFORME PROJETO</v>
      </c>
      <c r="B25" s="139"/>
      <c r="C25" s="140"/>
      <c r="D25" s="94" t="str">
        <f>'Planilia Atualizada'!D33</f>
        <v>M2</v>
      </c>
      <c r="E25" s="141" t="s">
        <v>164</v>
      </c>
      <c r="F25" s="171"/>
      <c r="G25" s="171"/>
      <c r="H25" s="163"/>
      <c r="I25" s="172">
        <f>+(11.5*1.8+0.8*13.5*0.8)*2</f>
        <v>58.68</v>
      </c>
      <c r="J25" s="173"/>
    </row>
    <row r="26" spans="1:10" x14ac:dyDescent="0.25">
      <c r="A26" s="149" t="str">
        <f>'Planilia Atualizada'!C35</f>
        <v>PAREDES E PAINEIS</v>
      </c>
      <c r="B26" s="150"/>
      <c r="C26" s="150"/>
      <c r="D26" s="150"/>
      <c r="E26" s="150"/>
      <c r="F26" s="150"/>
      <c r="G26" s="150"/>
      <c r="H26" s="150"/>
      <c r="I26" s="150"/>
      <c r="J26" s="151"/>
    </row>
    <row r="27" spans="1:10" ht="81" customHeight="1" x14ac:dyDescent="0.25">
      <c r="A27" s="148" t="str">
        <f>'Planilia Atualizada'!C36</f>
        <v xml:space="preserve"> ALVENARIA DE VEDAÇÃO DE BLOCOS CERÂMICOS FURADOS NA VERTICAL DE 9X19X3 9CM (ESPESSURA 9CM) DE PAREDES COM ÁREA LÍQUIDA MAIOR OU IGUAL A 6M² SEM VÃOS E ARGAMASSA DE ASSENTAMENTO COM PREPARO EM BETONEIRA. AF_06/2014</v>
      </c>
      <c r="B27" s="166"/>
      <c r="C27" s="166"/>
      <c r="D27" s="97" t="str">
        <f>'Planilia Atualizada'!D36</f>
        <v>M2</v>
      </c>
      <c r="E27" s="167" t="s">
        <v>165</v>
      </c>
      <c r="F27" s="168"/>
      <c r="G27" s="168"/>
      <c r="H27" s="169"/>
      <c r="I27" s="170">
        <f>32.87*4+9.2*0.2*4</f>
        <v>138.83999999999997</v>
      </c>
      <c r="J27" s="170"/>
    </row>
    <row r="28" spans="1:10" ht="18" customHeight="1" x14ac:dyDescent="0.25">
      <c r="A28" s="184" t="str">
        <f>'Planilia Atualizada'!C50</f>
        <v>INSTALAÇÕES ELETRICAS</v>
      </c>
      <c r="B28" s="185"/>
      <c r="C28" s="185"/>
      <c r="D28" s="185"/>
      <c r="E28" s="185"/>
      <c r="F28" s="185"/>
      <c r="G28" s="185"/>
      <c r="H28" s="185"/>
      <c r="I28" s="185"/>
      <c r="J28" s="186"/>
    </row>
    <row r="29" spans="1:10" ht="27" customHeight="1" x14ac:dyDescent="0.25">
      <c r="A29" s="148" t="str">
        <f>'Planilia Atualizada'!C51</f>
        <v>REFLETOR LED COM SUPORTE PARA FACHADA 200 WATTS C/ SUPORTE</v>
      </c>
      <c r="B29" s="148"/>
      <c r="C29" s="148"/>
      <c r="D29" s="113" t="str">
        <f>'Planilia Atualizada'!D51</f>
        <v>UN</v>
      </c>
      <c r="E29" s="170" t="s">
        <v>181</v>
      </c>
      <c r="F29" s="170"/>
      <c r="G29" s="170"/>
      <c r="H29" s="170"/>
      <c r="I29" s="170">
        <v>5</v>
      </c>
      <c r="J29" s="170"/>
    </row>
    <row r="30" spans="1:10" x14ac:dyDescent="0.25">
      <c r="A30" s="156" t="str">
        <f>'Planilia Atualizada'!C53</f>
        <v>REVESTIMENTOS</v>
      </c>
      <c r="B30" s="157"/>
      <c r="C30" s="157"/>
      <c r="D30" s="157"/>
      <c r="E30" s="157"/>
      <c r="F30" s="157"/>
      <c r="G30" s="157"/>
      <c r="H30" s="157"/>
      <c r="I30" s="157"/>
      <c r="J30" s="158"/>
    </row>
    <row r="31" spans="1:10" ht="57" customHeight="1" x14ac:dyDescent="0.25">
      <c r="A31" s="138" t="str">
        <f>'Planilia Atualizada'!C54</f>
        <v>CHAPISCO APLICADO EM ALVENARIAS E ESTRUTURAS DE CONCRETO INTERNAS, COM COLHER DE PEDREIRO.  ARGAMASSA TRAÇO 1:3 COM PREPARO EM BETONEIRA 400 L. AF_06/2014</v>
      </c>
      <c r="B31" s="139"/>
      <c r="C31" s="140"/>
      <c r="D31" s="95" t="str">
        <f>'Planilia Atualizada'!D54</f>
        <v>M2</v>
      </c>
      <c r="E31" s="159" t="s">
        <v>166</v>
      </c>
      <c r="F31" s="160"/>
      <c r="G31" s="160"/>
      <c r="H31" s="161"/>
      <c r="I31" s="162">
        <f>31.87*4+9.2*0.5*4</f>
        <v>145.88</v>
      </c>
      <c r="J31" s="163"/>
    </row>
    <row r="32" spans="1:10" ht="72" customHeight="1" x14ac:dyDescent="0.25">
      <c r="A32" s="138" t="str">
        <f>'Planilia Atualizada'!C55</f>
        <v>MASSA ÚNICA, PARA RECEBIMENTO DE PINTURA, EM ARGAMASSA TRAÇO 1:2:8, PREPARO MECÂNICO COM BETONEIRA 400L, APLICADA MANUALMENTE EM FACES INTERNAS DE PAREDES, ESPESSURA DE 20MM, COM EXECUÇÃO DE TALISCAS. AF_06/2014</v>
      </c>
      <c r="B32" s="139"/>
      <c r="C32" s="140"/>
      <c r="D32" s="95" t="str">
        <f>'Planilia Atualizada'!D55</f>
        <v>M2</v>
      </c>
      <c r="E32" s="159" t="s">
        <v>166</v>
      </c>
      <c r="F32" s="160"/>
      <c r="G32" s="160"/>
      <c r="H32" s="161"/>
      <c r="I32" s="162">
        <f>31.87*4+9.2*0.5*4</f>
        <v>145.88</v>
      </c>
      <c r="J32" s="163"/>
    </row>
    <row r="33" spans="1:10" ht="78.75" customHeight="1" x14ac:dyDescent="0.25">
      <c r="A33" s="138" t="str">
        <f>'Planilia Atualizada'!C56</f>
        <v>REVESTIMENTO COM PORCELANATO APLICADO EM PAREDE, ACABAMENTO MADEIRA, AMBIENTE EXTERNO, PADRÃO EXTRA, DIMENSÃO DA PEÇA ATÉ 2025 CM2, PEI III, ASSENTAMENTO COM ARGAMASSA INDUSTRIALIZADA, INCLUSIVE REJUNTAMENTO</v>
      </c>
      <c r="B33" s="139"/>
      <c r="C33" s="140"/>
      <c r="D33" s="95" t="str">
        <f>'Planilia Atualizada'!D56</f>
        <v>M2</v>
      </c>
      <c r="E33" s="159" t="s">
        <v>166</v>
      </c>
      <c r="F33" s="160"/>
      <c r="G33" s="160"/>
      <c r="H33" s="161"/>
      <c r="I33" s="162">
        <f>31.87*4+9.2*0.5*4</f>
        <v>145.88</v>
      </c>
      <c r="J33" s="163"/>
    </row>
    <row r="34" spans="1:10" x14ac:dyDescent="0.25">
      <c r="A34" s="156" t="str">
        <f>'Planilia Atualizada'!C58</f>
        <v>PINTURA</v>
      </c>
      <c r="B34" s="157"/>
      <c r="C34" s="157"/>
      <c r="D34" s="157"/>
      <c r="E34" s="157"/>
      <c r="F34" s="157"/>
      <c r="G34" s="157"/>
      <c r="H34" s="157"/>
      <c r="I34" s="157"/>
      <c r="J34" s="158"/>
    </row>
    <row r="35" spans="1:10" ht="51" customHeight="1" x14ac:dyDescent="0.25">
      <c r="A35" s="164" t="str">
        <f>'Planilia Atualizada'!C59</f>
        <v>TRATAMENTO EM SUPERFÍCIE DE CONCRETO APARENTE, INCLUSIVE RASPAGEM, ESTUCAGEM E POLIMENTO COM DUAS (2) DEMÃOS DE RESINA ACRÍLICA</v>
      </c>
      <c r="B35" s="164"/>
      <c r="C35" s="164"/>
      <c r="D35" s="98" t="str">
        <f>'Planilia Atualizada'!D59</f>
        <v>M2</v>
      </c>
      <c r="E35" s="165" t="s">
        <v>167</v>
      </c>
      <c r="F35" s="165"/>
      <c r="G35" s="165"/>
      <c r="H35" s="165"/>
      <c r="I35" s="165">
        <f>13.3*2+9.5*1.4*2</f>
        <v>53.2</v>
      </c>
      <c r="J35" s="165"/>
    </row>
    <row r="36" spans="1:10" x14ac:dyDescent="0.25">
      <c r="A36" s="149" t="str">
        <f>'Planilia Atualizada'!C61</f>
        <v>SERVIÇOS COMPLEMENTARES</v>
      </c>
      <c r="B36" s="150"/>
      <c r="C36" s="150"/>
      <c r="D36" s="150"/>
      <c r="E36" s="150"/>
      <c r="F36" s="150"/>
      <c r="G36" s="150"/>
      <c r="H36" s="150"/>
      <c r="I36" s="150"/>
      <c r="J36" s="151"/>
    </row>
    <row r="37" spans="1:10" ht="38.25" customHeight="1" x14ac:dyDescent="0.25">
      <c r="A37" s="148" t="str">
        <f>'Planilia Atualizada'!C62</f>
        <v>PLANTIO DE GRAMA BATATAIS EM PLACAS, INCLUSIVE TERRA VEGETAL E CONSERVAÇÃO POR 30 DIAS</v>
      </c>
      <c r="B37" s="148"/>
      <c r="C37" s="148"/>
      <c r="D37" s="97" t="str">
        <f>'Planilia Atualizada'!D62</f>
        <v>M2</v>
      </c>
      <c r="E37" s="146" t="s">
        <v>168</v>
      </c>
      <c r="F37" s="146"/>
      <c r="G37" s="146"/>
      <c r="H37" s="146"/>
      <c r="I37" s="147">
        <f>2*2*2</f>
        <v>8</v>
      </c>
      <c r="J37" s="147"/>
    </row>
    <row r="38" spans="1:10" ht="22.5" customHeight="1" x14ac:dyDescent="0.25">
      <c r="A38" s="148" t="str">
        <f>'Planilia Atualizada'!C63</f>
        <v>FORNECIMENTO DE PALMEIRA ARECA LUTESCENS</v>
      </c>
      <c r="B38" s="148"/>
      <c r="C38" s="148"/>
      <c r="D38" s="97" t="str">
        <f>'Planilia Atualizada'!D63</f>
        <v>U</v>
      </c>
      <c r="E38" s="146" t="s">
        <v>169</v>
      </c>
      <c r="F38" s="146"/>
      <c r="G38" s="146"/>
      <c r="H38" s="146"/>
      <c r="I38" s="147">
        <f>8*1</f>
        <v>8</v>
      </c>
      <c r="J38" s="147"/>
    </row>
    <row r="39" spans="1:10" ht="36" customHeight="1" x14ac:dyDescent="0.25">
      <c r="A39" s="148" t="str">
        <f>'Planilia Atualizada'!C64</f>
        <v>PLANTIO E PREPARO DE COVAS DE ARBUSTOS ORNAMENTAIS EM GERAL, EXCETO FORNECIMENTO DAS MUDAS</v>
      </c>
      <c r="B39" s="148"/>
      <c r="C39" s="148"/>
      <c r="D39" s="97" t="str">
        <f>'Planilia Atualizada'!D64</f>
        <v>U</v>
      </c>
      <c r="E39" s="146" t="s">
        <v>170</v>
      </c>
      <c r="F39" s="146"/>
      <c r="G39" s="146"/>
      <c r="H39" s="146"/>
      <c r="I39" s="147">
        <f>6*1</f>
        <v>6</v>
      </c>
      <c r="J39" s="147"/>
    </row>
    <row r="40" spans="1:10" ht="27.75" customHeight="1" x14ac:dyDescent="0.25">
      <c r="A40" s="152" t="str">
        <f>'Planilia Atualizada'!C65</f>
        <v>LASTRO DE SEIXO, INCLUSIVE LANÇAMENTO E ESPALHAMENTO MANUAL</v>
      </c>
      <c r="B40" s="153"/>
      <c r="C40" s="154"/>
      <c r="D40" s="97" t="str">
        <f>'Planilia Atualizada'!D65</f>
        <v>M3</v>
      </c>
      <c r="E40" s="146" t="s">
        <v>145</v>
      </c>
      <c r="F40" s="146"/>
      <c r="G40" s="146"/>
      <c r="H40" s="146"/>
      <c r="I40" s="147">
        <f>1</f>
        <v>1</v>
      </c>
      <c r="J40" s="147"/>
    </row>
    <row r="41" spans="1:10" ht="15" customHeight="1" x14ac:dyDescent="0.25">
      <c r="A41" s="152" t="str">
        <f>'Planilia Atualizada'!C66</f>
        <v>LIMPEZA GERAL</v>
      </c>
      <c r="B41" s="153"/>
      <c r="C41" s="154"/>
      <c r="D41" s="97" t="str">
        <f>'Planilia Atualizada'!D66</f>
        <v>M2</v>
      </c>
      <c r="E41" s="146">
        <v>120</v>
      </c>
      <c r="F41" s="146"/>
      <c r="G41" s="146"/>
      <c r="H41" s="146"/>
      <c r="I41" s="147">
        <v>120</v>
      </c>
      <c r="J41" s="147"/>
    </row>
    <row r="42" spans="1:10" x14ac:dyDescent="0.25">
      <c r="A42" s="99"/>
      <c r="B42" s="100"/>
      <c r="C42" s="100"/>
      <c r="D42" s="100"/>
      <c r="E42" s="100"/>
      <c r="F42" s="100"/>
      <c r="G42" s="100"/>
      <c r="H42" s="100"/>
      <c r="I42" s="100"/>
      <c r="J42" s="101"/>
    </row>
    <row r="43" spans="1:10" x14ac:dyDescent="0.25">
      <c r="A43" s="102" t="str">
        <f>'[1]PLANILHA orçamentária'!A127</f>
        <v>NOVORIZONTE-MG, 25/06/2020</v>
      </c>
      <c r="J43" s="103"/>
    </row>
    <row r="44" spans="1:10" x14ac:dyDescent="0.25">
      <c r="A44" s="102"/>
      <c r="J44" s="103"/>
    </row>
    <row r="45" spans="1:10" x14ac:dyDescent="0.25">
      <c r="A45" s="102"/>
      <c r="E45" s="155" t="s">
        <v>146</v>
      </c>
      <c r="F45" s="155"/>
      <c r="G45" s="155"/>
      <c r="H45" s="155"/>
      <c r="I45" s="155"/>
      <c r="J45" s="103"/>
    </row>
    <row r="46" spans="1:10" x14ac:dyDescent="0.25">
      <c r="A46" s="104"/>
      <c r="B46" s="105"/>
      <c r="C46" s="105"/>
      <c r="D46" s="105"/>
      <c r="E46" s="137" t="s">
        <v>147</v>
      </c>
      <c r="F46" s="137"/>
      <c r="G46" s="137"/>
      <c r="H46" s="137"/>
      <c r="I46" s="137"/>
      <c r="J46" s="106"/>
    </row>
  </sheetData>
  <mergeCells count="103">
    <mergeCell ref="I29:J29"/>
    <mergeCell ref="E29:H29"/>
    <mergeCell ref="A29:C29"/>
    <mergeCell ref="A28:J28"/>
    <mergeCell ref="A4:C4"/>
    <mergeCell ref="E4:H4"/>
    <mergeCell ref="I4:J4"/>
    <mergeCell ref="A1:J1"/>
    <mergeCell ref="A2:J2"/>
    <mergeCell ref="A3:C3"/>
    <mergeCell ref="E3:H3"/>
    <mergeCell ref="I3:J3"/>
    <mergeCell ref="A10:C10"/>
    <mergeCell ref="E10:H10"/>
    <mergeCell ref="I10:J10"/>
    <mergeCell ref="A7:J7"/>
    <mergeCell ref="A8:C8"/>
    <mergeCell ref="E8:H8"/>
    <mergeCell ref="I8:J8"/>
    <mergeCell ref="A9:C9"/>
    <mergeCell ref="E9:H9"/>
    <mergeCell ref="I9:J9"/>
    <mergeCell ref="A11:J11"/>
    <mergeCell ref="A12:C12"/>
    <mergeCell ref="E12:H12"/>
    <mergeCell ref="I12:J12"/>
    <mergeCell ref="A13:C13"/>
    <mergeCell ref="E13:H13"/>
    <mergeCell ref="I13:J13"/>
    <mergeCell ref="A14:C14"/>
    <mergeCell ref="E14:H14"/>
    <mergeCell ref="I14:J14"/>
    <mergeCell ref="A15:C15"/>
    <mergeCell ref="E15:H15"/>
    <mergeCell ref="I15:J15"/>
    <mergeCell ref="A16:C16"/>
    <mergeCell ref="E16:H16"/>
    <mergeCell ref="I16:J16"/>
    <mergeCell ref="A17:C17"/>
    <mergeCell ref="E17:H17"/>
    <mergeCell ref="I17:J17"/>
    <mergeCell ref="A18:J18"/>
    <mergeCell ref="A19:C19"/>
    <mergeCell ref="E19:H19"/>
    <mergeCell ref="I19:J19"/>
    <mergeCell ref="A20:C20"/>
    <mergeCell ref="E20:H20"/>
    <mergeCell ref="I20:J20"/>
    <mergeCell ref="A21:C21"/>
    <mergeCell ref="E21:H21"/>
    <mergeCell ref="I21:J21"/>
    <mergeCell ref="A22:C22"/>
    <mergeCell ref="E22:H22"/>
    <mergeCell ref="I22:J22"/>
    <mergeCell ref="A26:J26"/>
    <mergeCell ref="A27:C27"/>
    <mergeCell ref="E27:H27"/>
    <mergeCell ref="I27:J27"/>
    <mergeCell ref="A23:J23"/>
    <mergeCell ref="A24:C24"/>
    <mergeCell ref="E24:H24"/>
    <mergeCell ref="I24:J24"/>
    <mergeCell ref="A25:C25"/>
    <mergeCell ref="E25:H25"/>
    <mergeCell ref="I25:J25"/>
    <mergeCell ref="A30:J30"/>
    <mergeCell ref="A31:C31"/>
    <mergeCell ref="E31:H31"/>
    <mergeCell ref="I31:J31"/>
    <mergeCell ref="A32:C32"/>
    <mergeCell ref="E32:H32"/>
    <mergeCell ref="I32:J32"/>
    <mergeCell ref="A34:J34"/>
    <mergeCell ref="A35:C35"/>
    <mergeCell ref="E35:H35"/>
    <mergeCell ref="I35:J35"/>
    <mergeCell ref="A33:C33"/>
    <mergeCell ref="E33:H33"/>
    <mergeCell ref="I33:J33"/>
    <mergeCell ref="E46:I46"/>
    <mergeCell ref="A5:C5"/>
    <mergeCell ref="A6:C6"/>
    <mergeCell ref="E5:H5"/>
    <mergeCell ref="I5:J5"/>
    <mergeCell ref="E6:H6"/>
    <mergeCell ref="E41:H41"/>
    <mergeCell ref="I41:J41"/>
    <mergeCell ref="I6:J6"/>
    <mergeCell ref="A39:C39"/>
    <mergeCell ref="E39:H39"/>
    <mergeCell ref="I39:J39"/>
    <mergeCell ref="A36:J36"/>
    <mergeCell ref="A37:C37"/>
    <mergeCell ref="E37:H37"/>
    <mergeCell ref="I37:J37"/>
    <mergeCell ref="A38:C38"/>
    <mergeCell ref="E38:H38"/>
    <mergeCell ref="I38:J38"/>
    <mergeCell ref="A41:C41"/>
    <mergeCell ref="A40:C40"/>
    <mergeCell ref="E40:H40"/>
    <mergeCell ref="I40:J40"/>
    <mergeCell ref="E45:I45"/>
  </mergeCells>
  <phoneticPr fontId="19" type="noConversion"/>
  <pageMargins left="0.511811024" right="0.511811024" top="0.78740157499999996" bottom="0.78740157499999996" header="0.31496062000000002" footer="0.31496062000000002"/>
  <pageSetup paperSize="9"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7"/>
  <sheetViews>
    <sheetView view="pageBreakPreview" topLeftCell="A4" zoomScale="110" zoomScaleNormal="100" zoomScaleSheetLayoutView="110" workbookViewId="0">
      <selection activeCell="M45" sqref="M45"/>
    </sheetView>
  </sheetViews>
  <sheetFormatPr defaultColWidth="9.140625" defaultRowHeight="15" x14ac:dyDescent="0.25"/>
  <cols>
    <col min="1" max="1" width="9.28515625" style="1" bestFit="1" customWidth="1"/>
    <col min="2" max="5" width="9.140625" style="1"/>
    <col min="6" max="10" width="10.7109375" style="1" customWidth="1"/>
    <col min="11" max="12" width="10.7109375" style="1" hidden="1" customWidth="1"/>
    <col min="13" max="13" width="12" style="1" bestFit="1" customWidth="1"/>
    <col min="14" max="16384" width="9.140625" style="1"/>
  </cols>
  <sheetData>
    <row r="1" spans="1:17" ht="15.75" thickTop="1" x14ac:dyDescent="0.25">
      <c r="A1" s="227" t="s">
        <v>30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9"/>
    </row>
    <row r="2" spans="1:17" ht="15.75" thickBot="1" x14ac:dyDescent="0.3">
      <c r="A2" s="230"/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2"/>
      <c r="P2" s="1">
        <f>320*90</f>
        <v>28800</v>
      </c>
    </row>
    <row r="3" spans="1:17" ht="15.75" customHeight="1" thickTop="1" x14ac:dyDescent="0.25">
      <c r="A3" s="29" t="e">
        <f>#REF!</f>
        <v>#REF!</v>
      </c>
      <c r="B3" s="33" t="str">
        <f>+'Planilia Atualizada'!B3:E3</f>
        <v>CONSTRUÇÃO DO PÓRTICO DE ENTRADA DO MUNICÍPIO</v>
      </c>
      <c r="C3" s="30"/>
      <c r="D3" s="30"/>
      <c r="E3" s="30"/>
      <c r="F3" s="31"/>
      <c r="G3" s="233" t="s">
        <v>31</v>
      </c>
      <c r="H3" s="234"/>
      <c r="I3" s="234"/>
      <c r="J3" s="234"/>
      <c r="K3" s="234"/>
      <c r="L3" s="235"/>
      <c r="M3" s="34" t="e">
        <f>#REF!</f>
        <v>#REF!</v>
      </c>
      <c r="P3" s="1">
        <f>42000/320</f>
        <v>131.25</v>
      </c>
      <c r="Q3" s="1" t="s">
        <v>90</v>
      </c>
    </row>
    <row r="4" spans="1:17" x14ac:dyDescent="0.25">
      <c r="A4" s="29" t="e">
        <f>#REF!</f>
        <v>#REF!</v>
      </c>
      <c r="B4" s="33" t="str">
        <f>+'Planilia Atualizada'!B4:E4</f>
        <v>RODOVIA NOVORIZONTE/SALINAS - ZONA RURAL - NOVORIZONTE/MG</v>
      </c>
      <c r="C4" s="30"/>
      <c r="D4" s="30"/>
      <c r="E4" s="30"/>
      <c r="F4" s="32"/>
      <c r="G4" s="236"/>
      <c r="H4" s="237"/>
      <c r="I4" s="237"/>
      <c r="J4" s="237"/>
      <c r="K4" s="237"/>
      <c r="L4" s="238"/>
      <c r="M4" s="35">
        <f>+'Planilia Atualizada'!H3</f>
        <v>44007</v>
      </c>
    </row>
    <row r="5" spans="1:17" s="6" customFormat="1" ht="12.75" x14ac:dyDescent="0.2">
      <c r="A5" s="2" t="s">
        <v>32</v>
      </c>
      <c r="B5" s="239" t="s">
        <v>33</v>
      </c>
      <c r="C5" s="239"/>
      <c r="D5" s="239"/>
      <c r="E5" s="239"/>
      <c r="F5" s="3" t="s">
        <v>45</v>
      </c>
      <c r="G5" s="3" t="s">
        <v>34</v>
      </c>
      <c r="H5" s="3" t="s">
        <v>35</v>
      </c>
      <c r="I5" s="3" t="s">
        <v>36</v>
      </c>
      <c r="J5" s="3" t="s">
        <v>37</v>
      </c>
      <c r="K5" s="3" t="s">
        <v>38</v>
      </c>
      <c r="L5" s="3" t="s">
        <v>39</v>
      </c>
      <c r="M5" s="4" t="s">
        <v>40</v>
      </c>
      <c r="N5" s="5"/>
      <c r="O5" s="47" t="e">
        <f>+#REF!/'CRONOG ATUAL'!F8</f>
        <v>#REF!</v>
      </c>
    </row>
    <row r="6" spans="1:17" s="6" customFormat="1" ht="11.45" customHeight="1" x14ac:dyDescent="0.2">
      <c r="A6" s="240">
        <v>1</v>
      </c>
      <c r="B6" s="241" t="str">
        <f>'Planilia Atualizada'!C6</f>
        <v>SERVIÇOS PRELIMINARES</v>
      </c>
      <c r="C6" s="242"/>
      <c r="D6" s="242"/>
      <c r="E6" s="243"/>
      <c r="F6" s="244">
        <f>'Planilia Atualizada'!H11</f>
        <v>6116.5599999999995</v>
      </c>
      <c r="G6" s="10">
        <f>$F6*G7</f>
        <v>6116.5599999999995</v>
      </c>
      <c r="H6" s="10">
        <f>$F6*H7</f>
        <v>0</v>
      </c>
      <c r="I6" s="10">
        <f>$F6*I7</f>
        <v>0</v>
      </c>
      <c r="J6" s="10"/>
      <c r="K6" s="10">
        <f t="shared" ref="K6:K8" si="0">$F6*K7</f>
        <v>0</v>
      </c>
      <c r="L6" s="12">
        <f t="shared" ref="L6:L18" si="1">$F6*L7</f>
        <v>0</v>
      </c>
      <c r="M6" s="11">
        <f>IF(M7=100%,F6,0)</f>
        <v>6116.5599999999995</v>
      </c>
      <c r="N6" s="5"/>
    </row>
    <row r="7" spans="1:17" s="6" customFormat="1" ht="10.15" customHeight="1" x14ac:dyDescent="0.2">
      <c r="A7" s="200"/>
      <c r="B7" s="204"/>
      <c r="C7" s="205"/>
      <c r="D7" s="205"/>
      <c r="E7" s="206"/>
      <c r="F7" s="245"/>
      <c r="G7" s="8">
        <v>1</v>
      </c>
      <c r="H7" s="8"/>
      <c r="I7" s="8"/>
      <c r="J7" s="8"/>
      <c r="K7" s="8"/>
      <c r="L7" s="8"/>
      <c r="M7" s="9">
        <f>SUM(G7:L7)</f>
        <v>1</v>
      </c>
      <c r="N7" s="5"/>
      <c r="O7" s="36" t="e">
        <f>+#REF!</f>
        <v>#REF!</v>
      </c>
    </row>
    <row r="8" spans="1:17" s="7" customFormat="1" ht="11.25" x14ac:dyDescent="0.2">
      <c r="A8" s="246">
        <v>2</v>
      </c>
      <c r="B8" s="216" t="str">
        <f>'Planilia Atualizada'!C12</f>
        <v>MOVIMENTO DE TERRA</v>
      </c>
      <c r="C8" s="247"/>
      <c r="D8" s="247"/>
      <c r="E8" s="248"/>
      <c r="F8" s="220">
        <f>'Planilia Atualizada'!H16</f>
        <v>2188.89</v>
      </c>
      <c r="G8" s="10">
        <f>$F8*G9</f>
        <v>2188.89</v>
      </c>
      <c r="H8" s="10">
        <f>$F8*H9</f>
        <v>0</v>
      </c>
      <c r="I8" s="10">
        <f>$F8*I9</f>
        <v>0</v>
      </c>
      <c r="J8" s="10"/>
      <c r="K8" s="10">
        <f t="shared" si="0"/>
        <v>0</v>
      </c>
      <c r="L8" s="12">
        <f t="shared" si="1"/>
        <v>0</v>
      </c>
      <c r="M8" s="11">
        <f>IF(M9=100%,F8,0)</f>
        <v>2188.89</v>
      </c>
    </row>
    <row r="9" spans="1:17" s="7" customFormat="1" ht="11.25" x14ac:dyDescent="0.2">
      <c r="A9" s="200"/>
      <c r="B9" s="204"/>
      <c r="C9" s="205"/>
      <c r="D9" s="205"/>
      <c r="E9" s="206"/>
      <c r="F9" s="245"/>
      <c r="G9" s="8">
        <v>1</v>
      </c>
      <c r="H9" s="8"/>
      <c r="I9" s="8"/>
      <c r="J9" s="8"/>
      <c r="K9" s="8"/>
      <c r="L9" s="8"/>
      <c r="M9" s="9">
        <f>SUM(G9:L9)</f>
        <v>1</v>
      </c>
      <c r="O9" s="37" t="e">
        <f>+#REF!</f>
        <v>#REF!</v>
      </c>
    </row>
    <row r="10" spans="1:17" s="7" customFormat="1" ht="11.25" x14ac:dyDescent="0.2">
      <c r="A10" s="246">
        <v>3</v>
      </c>
      <c r="B10" s="201" t="str">
        <f>'Planilia Atualizada'!C17</f>
        <v>FUNDAÇÕES</v>
      </c>
      <c r="C10" s="202"/>
      <c r="D10" s="202"/>
      <c r="E10" s="203"/>
      <c r="F10" s="220">
        <f>'Planilia Atualizada'!H24</f>
        <v>11008.39</v>
      </c>
      <c r="G10" s="10">
        <f>$F10*G11</f>
        <v>11008.39</v>
      </c>
      <c r="H10" s="10">
        <f>$F10*H11</f>
        <v>0</v>
      </c>
      <c r="I10" s="10">
        <f>$F10*I11</f>
        <v>0</v>
      </c>
      <c r="J10" s="10"/>
      <c r="K10" s="10"/>
      <c r="L10" s="12">
        <f t="shared" si="1"/>
        <v>0</v>
      </c>
      <c r="M10" s="11">
        <f t="shared" ref="M10" si="2">IF(M11=100%,F10,0)</f>
        <v>11008.39</v>
      </c>
    </row>
    <row r="11" spans="1:17" s="7" customFormat="1" ht="11.25" x14ac:dyDescent="0.2">
      <c r="A11" s="200"/>
      <c r="B11" s="204"/>
      <c r="C11" s="205"/>
      <c r="D11" s="205"/>
      <c r="E11" s="206"/>
      <c r="F11" s="207"/>
      <c r="G11" s="8">
        <v>1</v>
      </c>
      <c r="H11" s="8"/>
      <c r="I11" s="8"/>
      <c r="J11" s="8"/>
      <c r="K11" s="8"/>
      <c r="L11" s="8"/>
      <c r="M11" s="9">
        <f t="shared" ref="M11" si="3">SUM(G11:L11)</f>
        <v>1</v>
      </c>
      <c r="O11" s="37" t="e">
        <f>+#REF!</f>
        <v>#REF!</v>
      </c>
    </row>
    <row r="12" spans="1:17" s="7" customFormat="1" ht="11.25" x14ac:dyDescent="0.2">
      <c r="A12" s="200">
        <v>4</v>
      </c>
      <c r="B12" s="201" t="str">
        <f>'Planilia Atualizada'!C25</f>
        <v>ESTRUTURA</v>
      </c>
      <c r="C12" s="202"/>
      <c r="D12" s="202"/>
      <c r="E12" s="203"/>
      <c r="F12" s="207">
        <f>'Planilia Atualizada'!H30</f>
        <v>32520.179999999997</v>
      </c>
      <c r="G12" s="12">
        <f>$F12*G13</f>
        <v>16260.089999999998</v>
      </c>
      <c r="H12" s="12">
        <f>$F12*H13</f>
        <v>16260.089999999998</v>
      </c>
      <c r="I12" s="12">
        <f>$F12*I13</f>
        <v>0</v>
      </c>
      <c r="J12" s="12"/>
      <c r="K12" s="12">
        <f t="shared" ref="K12" si="4">$F12*K13</f>
        <v>0</v>
      </c>
      <c r="L12" s="12">
        <f t="shared" si="1"/>
        <v>0</v>
      </c>
      <c r="M12" s="11">
        <f t="shared" ref="M12" si="5">IF(M13=100%,F12,0)</f>
        <v>32520.179999999997</v>
      </c>
    </row>
    <row r="13" spans="1:17" s="7" customFormat="1" ht="11.25" x14ac:dyDescent="0.2">
      <c r="A13" s="200"/>
      <c r="B13" s="204"/>
      <c r="C13" s="205"/>
      <c r="D13" s="205"/>
      <c r="E13" s="206"/>
      <c r="F13" s="207"/>
      <c r="G13" s="8">
        <v>0.5</v>
      </c>
      <c r="H13" s="8">
        <v>0.5</v>
      </c>
      <c r="I13" s="8"/>
      <c r="J13" s="8"/>
      <c r="K13" s="8"/>
      <c r="L13" s="8"/>
      <c r="M13" s="9">
        <f t="shared" ref="M13" si="6">SUM(G13:L13)</f>
        <v>1</v>
      </c>
      <c r="O13" s="37" t="e">
        <f>+#REF!</f>
        <v>#REF!</v>
      </c>
    </row>
    <row r="14" spans="1:17" s="7" customFormat="1" ht="11.25" x14ac:dyDescent="0.2">
      <c r="A14" s="200">
        <v>5</v>
      </c>
      <c r="B14" s="201" t="str">
        <f>'Planilia Atualizada'!C31</f>
        <v>COBERTURA</v>
      </c>
      <c r="C14" s="202"/>
      <c r="D14" s="202"/>
      <c r="E14" s="203"/>
      <c r="F14" s="207">
        <f>'Planilia Atualizada'!H34</f>
        <v>44749.21</v>
      </c>
      <c r="G14" s="12">
        <f>$F14*G15</f>
        <v>0</v>
      </c>
      <c r="H14" s="12">
        <f>$F14*H15</f>
        <v>22374.605</v>
      </c>
      <c r="I14" s="12">
        <f>$F14*I15</f>
        <v>22374.605</v>
      </c>
      <c r="J14" s="12"/>
      <c r="K14" s="12">
        <f t="shared" ref="K14" si="7">$F14*K15</f>
        <v>0</v>
      </c>
      <c r="L14" s="12">
        <f t="shared" si="1"/>
        <v>0</v>
      </c>
      <c r="M14" s="11">
        <f t="shared" ref="M14" si="8">IF(M15=100%,F14,0)</f>
        <v>44749.21</v>
      </c>
    </row>
    <row r="15" spans="1:17" s="7" customFormat="1" ht="11.25" x14ac:dyDescent="0.2">
      <c r="A15" s="200"/>
      <c r="B15" s="204"/>
      <c r="C15" s="205"/>
      <c r="D15" s="205"/>
      <c r="E15" s="206"/>
      <c r="F15" s="207"/>
      <c r="G15" s="8"/>
      <c r="H15" s="8">
        <v>0.5</v>
      </c>
      <c r="I15" s="8">
        <v>0.5</v>
      </c>
      <c r="J15" s="8"/>
      <c r="K15" s="8"/>
      <c r="L15" s="8"/>
      <c r="M15" s="9">
        <f t="shared" ref="M15" si="9">SUM(G15:L15)</f>
        <v>1</v>
      </c>
      <c r="O15" s="37" t="e">
        <f>+#REF!</f>
        <v>#REF!</v>
      </c>
    </row>
    <row r="16" spans="1:17" s="7" customFormat="1" ht="11.25" hidden="1" x14ac:dyDescent="0.2">
      <c r="A16" s="200"/>
      <c r="B16" s="201"/>
      <c r="C16" s="202"/>
      <c r="D16" s="202"/>
      <c r="E16" s="203"/>
      <c r="F16" s="207"/>
      <c r="G16" s="12"/>
      <c r="H16" s="12"/>
      <c r="I16" s="12"/>
      <c r="J16" s="12"/>
      <c r="K16" s="12"/>
      <c r="L16" s="12">
        <f t="shared" si="1"/>
        <v>0</v>
      </c>
      <c r="M16" s="11"/>
    </row>
    <row r="17" spans="1:15" s="7" customFormat="1" ht="11.25" hidden="1" x14ac:dyDescent="0.2">
      <c r="A17" s="200"/>
      <c r="B17" s="204"/>
      <c r="C17" s="205"/>
      <c r="D17" s="205"/>
      <c r="E17" s="206"/>
      <c r="F17" s="207"/>
      <c r="G17" s="8"/>
      <c r="H17" s="8"/>
      <c r="I17" s="8"/>
      <c r="J17" s="8"/>
      <c r="K17" s="8"/>
      <c r="L17" s="8"/>
      <c r="M17" s="9"/>
      <c r="O17" s="37" t="e">
        <f>+#REF!</f>
        <v>#REF!</v>
      </c>
    </row>
    <row r="18" spans="1:15" s="7" customFormat="1" ht="11.25" hidden="1" x14ac:dyDescent="0.2">
      <c r="A18" s="200"/>
      <c r="B18" s="201"/>
      <c r="C18" s="202"/>
      <c r="D18" s="202"/>
      <c r="E18" s="203"/>
      <c r="F18" s="207"/>
      <c r="G18" s="12"/>
      <c r="H18" s="12"/>
      <c r="I18" s="12"/>
      <c r="J18" s="12"/>
      <c r="K18" s="12"/>
      <c r="L18" s="12">
        <f t="shared" si="1"/>
        <v>0</v>
      </c>
      <c r="M18" s="11"/>
    </row>
    <row r="19" spans="1:15" s="7" customFormat="1" ht="11.25" hidden="1" x14ac:dyDescent="0.2">
      <c r="A19" s="200"/>
      <c r="B19" s="204"/>
      <c r="C19" s="205"/>
      <c r="D19" s="205"/>
      <c r="E19" s="206"/>
      <c r="F19" s="207"/>
      <c r="G19" s="8"/>
      <c r="H19" s="8"/>
      <c r="I19" s="8"/>
      <c r="J19" s="8"/>
      <c r="K19" s="8"/>
      <c r="L19" s="8"/>
      <c r="M19" s="9"/>
      <c r="O19" s="37" t="e">
        <f>+#REF!</f>
        <v>#REF!</v>
      </c>
    </row>
    <row r="20" spans="1:15" s="7" customFormat="1" ht="11.25" x14ac:dyDescent="0.2">
      <c r="A20" s="200">
        <v>6</v>
      </c>
      <c r="B20" s="201" t="str">
        <f>'Planilia Atualizada'!C35</f>
        <v>PAREDES E PAINEIS</v>
      </c>
      <c r="C20" s="202"/>
      <c r="D20" s="202"/>
      <c r="E20" s="203"/>
      <c r="F20" s="207">
        <f>'Planilia Atualizada'!H37</f>
        <v>5396.71</v>
      </c>
      <c r="G20" s="12">
        <f t="shared" ref="G20:L36" si="10">$F20*G21</f>
        <v>2698.355</v>
      </c>
      <c r="H20" s="12">
        <f t="shared" si="10"/>
        <v>2698.355</v>
      </c>
      <c r="I20" s="12">
        <f t="shared" si="10"/>
        <v>0</v>
      </c>
      <c r="J20" s="12"/>
      <c r="K20" s="12">
        <f t="shared" si="10"/>
        <v>0</v>
      </c>
      <c r="L20" s="12">
        <f t="shared" si="10"/>
        <v>0</v>
      </c>
      <c r="M20" s="11">
        <f t="shared" ref="M20" si="11">IF(M21=100%,F20,0)</f>
        <v>5396.71</v>
      </c>
    </row>
    <row r="21" spans="1:15" s="7" customFormat="1" ht="11.25" x14ac:dyDescent="0.2">
      <c r="A21" s="200"/>
      <c r="B21" s="204"/>
      <c r="C21" s="205"/>
      <c r="D21" s="205"/>
      <c r="E21" s="206"/>
      <c r="F21" s="207"/>
      <c r="G21" s="8">
        <v>0.5</v>
      </c>
      <c r="H21" s="8">
        <v>0.5</v>
      </c>
      <c r="I21" s="8"/>
      <c r="J21" s="8"/>
      <c r="K21" s="8"/>
      <c r="L21" s="8"/>
      <c r="M21" s="9">
        <f t="shared" ref="M21" si="12">SUM(G21:L21)</f>
        <v>1</v>
      </c>
      <c r="O21" s="37" t="e">
        <f>+#REF!</f>
        <v>#REF!</v>
      </c>
    </row>
    <row r="22" spans="1:15" s="7" customFormat="1" ht="11.25" hidden="1" customHeight="1" x14ac:dyDescent="0.2">
      <c r="A22" s="200">
        <v>7</v>
      </c>
      <c r="B22" s="201" t="e">
        <f>+#REF!</f>
        <v>#REF!</v>
      </c>
      <c r="C22" s="202"/>
      <c r="D22" s="202"/>
      <c r="E22" s="203"/>
      <c r="F22" s="207">
        <f>'Planilia Atualizada'!H48</f>
        <v>0</v>
      </c>
      <c r="G22" s="12"/>
      <c r="H22" s="12">
        <f t="shared" ref="H22:I22" si="13">$F22*H23</f>
        <v>0</v>
      </c>
      <c r="I22" s="12">
        <f t="shared" si="13"/>
        <v>0</v>
      </c>
      <c r="J22" s="12"/>
      <c r="K22" s="12">
        <f t="shared" si="10"/>
        <v>0</v>
      </c>
      <c r="L22" s="12">
        <f t="shared" si="10"/>
        <v>0</v>
      </c>
      <c r="M22" s="11">
        <f t="shared" ref="M22" si="14">IF(M23=100%,F22,0)</f>
        <v>0</v>
      </c>
    </row>
    <row r="23" spans="1:15" s="7" customFormat="1" ht="11.25" hidden="1" customHeight="1" x14ac:dyDescent="0.2">
      <c r="A23" s="200"/>
      <c r="B23" s="204"/>
      <c r="C23" s="205"/>
      <c r="D23" s="205"/>
      <c r="E23" s="206"/>
      <c r="F23" s="207"/>
      <c r="G23" s="8"/>
      <c r="H23" s="8">
        <v>1</v>
      </c>
      <c r="I23" s="8"/>
      <c r="J23" s="8"/>
      <c r="K23" s="8"/>
      <c r="L23" s="8"/>
      <c r="M23" s="9">
        <f t="shared" ref="M23" si="15">SUM(G23:L23)</f>
        <v>1</v>
      </c>
      <c r="O23" s="37" t="e">
        <f>+#REF!</f>
        <v>#REF!</v>
      </c>
    </row>
    <row r="24" spans="1:15" s="7" customFormat="1" ht="15" customHeight="1" x14ac:dyDescent="0.2">
      <c r="A24" s="200">
        <v>7</v>
      </c>
      <c r="B24" s="221" t="str">
        <f>'Planilia Atualizada'!C50</f>
        <v>INSTALAÇÕES ELETRICAS</v>
      </c>
      <c r="C24" s="222"/>
      <c r="D24" s="222"/>
      <c r="E24" s="223"/>
      <c r="F24" s="219">
        <f>'Planilia Atualizada'!H52</f>
        <v>1828.6</v>
      </c>
      <c r="G24" s="8">
        <f>$F24*G25</f>
        <v>0</v>
      </c>
      <c r="H24" s="8">
        <f t="shared" ref="H24:I24" si="16">$F24*H25</f>
        <v>0</v>
      </c>
      <c r="I24" s="8">
        <f t="shared" si="16"/>
        <v>1828.6</v>
      </c>
      <c r="J24" s="8"/>
      <c r="K24" s="8"/>
      <c r="L24" s="8"/>
      <c r="M24" s="11">
        <f>IF(M25=100%,F24,0)</f>
        <v>1828.6</v>
      </c>
      <c r="O24" s="37"/>
    </row>
    <row r="25" spans="1:15" s="7" customFormat="1" ht="9.75" customHeight="1" x14ac:dyDescent="0.2">
      <c r="A25" s="200"/>
      <c r="B25" s="224"/>
      <c r="C25" s="225"/>
      <c r="D25" s="225"/>
      <c r="E25" s="226"/>
      <c r="F25" s="220"/>
      <c r="G25" s="8"/>
      <c r="H25" s="8"/>
      <c r="I25" s="8">
        <v>1</v>
      </c>
      <c r="J25" s="8"/>
      <c r="K25" s="8"/>
      <c r="L25" s="8"/>
      <c r="M25" s="119">
        <v>1</v>
      </c>
      <c r="O25" s="37"/>
    </row>
    <row r="26" spans="1:15" s="7" customFormat="1" ht="11.25" x14ac:dyDescent="0.2">
      <c r="A26" s="200">
        <v>8</v>
      </c>
      <c r="B26" s="213" t="str">
        <f>'Planilia Atualizada'!C53</f>
        <v>REVESTIMENTOS</v>
      </c>
      <c r="C26" s="214"/>
      <c r="D26" s="214"/>
      <c r="E26" s="215"/>
      <c r="F26" s="219">
        <f>'Planilia Atualizada'!H57</f>
        <v>12399.79</v>
      </c>
      <c r="G26" s="12">
        <f t="shared" ref="G26:I34" si="17">$F26*G27</f>
        <v>0</v>
      </c>
      <c r="H26" s="12">
        <f t="shared" si="17"/>
        <v>6199.8950000000004</v>
      </c>
      <c r="I26" s="12">
        <f t="shared" si="17"/>
        <v>6199.8950000000004</v>
      </c>
      <c r="J26" s="12"/>
      <c r="K26" s="12">
        <f t="shared" si="10"/>
        <v>0</v>
      </c>
      <c r="L26" s="12">
        <f t="shared" si="10"/>
        <v>0</v>
      </c>
      <c r="M26" s="11">
        <f t="shared" ref="M26:M42" si="18">IF(M27=100%,F26,0)</f>
        <v>12399.79</v>
      </c>
    </row>
    <row r="27" spans="1:15" s="7" customFormat="1" ht="11.25" x14ac:dyDescent="0.2">
      <c r="A27" s="200"/>
      <c r="B27" s="216"/>
      <c r="C27" s="217"/>
      <c r="D27" s="217"/>
      <c r="E27" s="218"/>
      <c r="F27" s="220"/>
      <c r="G27" s="8"/>
      <c r="H27" s="8">
        <v>0.5</v>
      </c>
      <c r="I27" s="8">
        <v>0.5</v>
      </c>
      <c r="J27" s="8"/>
      <c r="K27" s="8"/>
      <c r="L27" s="8"/>
      <c r="M27" s="9">
        <f t="shared" ref="M27:M43" si="19">SUM(G27:L27)</f>
        <v>1</v>
      </c>
      <c r="O27" s="37" t="e">
        <f>+#REF!</f>
        <v>#REF!</v>
      </c>
    </row>
    <row r="28" spans="1:15" s="7" customFormat="1" ht="11.25" x14ac:dyDescent="0.2">
      <c r="A28" s="200">
        <v>9</v>
      </c>
      <c r="B28" s="201" t="str">
        <f>'Planilia Atualizada'!C58</f>
        <v>PINTURA</v>
      </c>
      <c r="C28" s="202"/>
      <c r="D28" s="202"/>
      <c r="E28" s="203"/>
      <c r="F28" s="207">
        <f>'Planilia Atualizada'!H60</f>
        <v>1897.64</v>
      </c>
      <c r="G28" s="12">
        <f t="shared" si="17"/>
        <v>0</v>
      </c>
      <c r="H28" s="12">
        <f t="shared" si="17"/>
        <v>0</v>
      </c>
      <c r="I28" s="12">
        <f t="shared" si="17"/>
        <v>1897.64</v>
      </c>
      <c r="J28" s="12"/>
      <c r="K28" s="12">
        <f t="shared" si="10"/>
        <v>0</v>
      </c>
      <c r="L28" s="12">
        <f t="shared" si="10"/>
        <v>0</v>
      </c>
      <c r="M28" s="11">
        <f t="shared" si="18"/>
        <v>1897.64</v>
      </c>
    </row>
    <row r="29" spans="1:15" s="7" customFormat="1" ht="11.25" x14ac:dyDescent="0.2">
      <c r="A29" s="200"/>
      <c r="B29" s="204"/>
      <c r="C29" s="205"/>
      <c r="D29" s="205"/>
      <c r="E29" s="206"/>
      <c r="F29" s="207"/>
      <c r="G29" s="8"/>
      <c r="H29" s="8"/>
      <c r="I29" s="8">
        <v>1</v>
      </c>
      <c r="J29" s="8"/>
      <c r="K29" s="8"/>
      <c r="L29" s="8"/>
      <c r="M29" s="9">
        <f t="shared" si="19"/>
        <v>1</v>
      </c>
      <c r="O29" s="37" t="e">
        <f>+#REF!</f>
        <v>#REF!</v>
      </c>
    </row>
    <row r="30" spans="1:15" s="7" customFormat="1" ht="11.25" x14ac:dyDescent="0.2">
      <c r="A30" s="200">
        <v>10</v>
      </c>
      <c r="B30" s="201" t="str">
        <f>'Planilia Atualizada'!C61</f>
        <v>SERVIÇOS COMPLEMENTARES</v>
      </c>
      <c r="C30" s="202"/>
      <c r="D30" s="202"/>
      <c r="E30" s="203"/>
      <c r="F30" s="207">
        <f>'Planilia Atualizada'!H67</f>
        <v>781.75</v>
      </c>
      <c r="G30" s="12">
        <f t="shared" si="17"/>
        <v>0</v>
      </c>
      <c r="H30" s="12">
        <f t="shared" si="17"/>
        <v>0</v>
      </c>
      <c r="I30" s="12">
        <f t="shared" si="17"/>
        <v>781.75</v>
      </c>
      <c r="J30" s="12"/>
      <c r="K30" s="12">
        <f t="shared" si="10"/>
        <v>0</v>
      </c>
      <c r="L30" s="12">
        <f t="shared" si="10"/>
        <v>0</v>
      </c>
      <c r="M30" s="11">
        <f t="shared" si="18"/>
        <v>781.75</v>
      </c>
    </row>
    <row r="31" spans="1:15" s="7" customFormat="1" ht="11.25" x14ac:dyDescent="0.2">
      <c r="A31" s="200"/>
      <c r="B31" s="204"/>
      <c r="C31" s="205"/>
      <c r="D31" s="205"/>
      <c r="E31" s="206"/>
      <c r="F31" s="207"/>
      <c r="G31" s="8"/>
      <c r="H31" s="8"/>
      <c r="I31" s="8">
        <v>1</v>
      </c>
      <c r="J31" s="8"/>
      <c r="K31" s="8"/>
      <c r="L31" s="8"/>
      <c r="M31" s="9">
        <f t="shared" si="19"/>
        <v>1</v>
      </c>
      <c r="O31" s="37" t="e">
        <f>+#REF!</f>
        <v>#REF!</v>
      </c>
    </row>
    <row r="32" spans="1:15" s="7" customFormat="1" ht="11.25" hidden="1" x14ac:dyDescent="0.2">
      <c r="A32" s="200"/>
      <c r="B32" s="201"/>
      <c r="C32" s="202"/>
      <c r="D32" s="202"/>
      <c r="E32" s="203"/>
      <c r="F32" s="207"/>
      <c r="G32" s="12">
        <f t="shared" si="17"/>
        <v>0</v>
      </c>
      <c r="H32" s="12">
        <f t="shared" si="17"/>
        <v>0</v>
      </c>
      <c r="I32" s="12">
        <f t="shared" si="17"/>
        <v>0</v>
      </c>
      <c r="J32" s="12"/>
      <c r="K32" s="12">
        <f t="shared" si="10"/>
        <v>0</v>
      </c>
      <c r="L32" s="12">
        <f t="shared" si="10"/>
        <v>0</v>
      </c>
      <c r="M32" s="11">
        <f t="shared" si="18"/>
        <v>0</v>
      </c>
    </row>
    <row r="33" spans="1:15" s="7" customFormat="1" ht="11.25" hidden="1" x14ac:dyDescent="0.2">
      <c r="A33" s="200"/>
      <c r="B33" s="204"/>
      <c r="C33" s="205"/>
      <c r="D33" s="205"/>
      <c r="E33" s="206"/>
      <c r="F33" s="207"/>
      <c r="G33" s="8"/>
      <c r="H33" s="8"/>
      <c r="I33" s="8"/>
      <c r="J33" s="8"/>
      <c r="K33" s="8"/>
      <c r="L33" s="8"/>
      <c r="M33" s="9">
        <f t="shared" si="19"/>
        <v>0</v>
      </c>
      <c r="O33" s="37" t="e">
        <f>+#REF!</f>
        <v>#REF!</v>
      </c>
    </row>
    <row r="34" spans="1:15" s="7" customFormat="1" ht="11.25" hidden="1" x14ac:dyDescent="0.2">
      <c r="A34" s="200"/>
      <c r="B34" s="201"/>
      <c r="C34" s="202"/>
      <c r="D34" s="202"/>
      <c r="E34" s="203"/>
      <c r="F34" s="207"/>
      <c r="G34" s="12">
        <f t="shared" si="17"/>
        <v>0</v>
      </c>
      <c r="H34" s="12">
        <f t="shared" si="17"/>
        <v>0</v>
      </c>
      <c r="I34" s="12">
        <f t="shared" si="17"/>
        <v>0</v>
      </c>
      <c r="J34" s="12"/>
      <c r="K34" s="12">
        <f t="shared" si="10"/>
        <v>0</v>
      </c>
      <c r="L34" s="12">
        <f t="shared" si="10"/>
        <v>0</v>
      </c>
      <c r="M34" s="11">
        <f t="shared" si="18"/>
        <v>0</v>
      </c>
    </row>
    <row r="35" spans="1:15" s="7" customFormat="1" ht="11.25" hidden="1" x14ac:dyDescent="0.2">
      <c r="A35" s="200"/>
      <c r="B35" s="204"/>
      <c r="C35" s="205"/>
      <c r="D35" s="205"/>
      <c r="E35" s="206"/>
      <c r="F35" s="207"/>
      <c r="G35" s="8"/>
      <c r="H35" s="8"/>
      <c r="I35" s="8"/>
      <c r="J35" s="8"/>
      <c r="K35" s="8"/>
      <c r="L35" s="8"/>
      <c r="M35" s="9">
        <f t="shared" si="19"/>
        <v>0</v>
      </c>
    </row>
    <row r="36" spans="1:15" s="7" customFormat="1" ht="11.25" hidden="1" x14ac:dyDescent="0.2">
      <c r="A36" s="200"/>
      <c r="B36" s="201"/>
      <c r="C36" s="202"/>
      <c r="D36" s="202"/>
      <c r="E36" s="203"/>
      <c r="F36" s="207"/>
      <c r="G36" s="12">
        <f t="shared" ref="G36:I36" si="20">$F36*G37</f>
        <v>0</v>
      </c>
      <c r="H36" s="12">
        <f t="shared" si="20"/>
        <v>0</v>
      </c>
      <c r="I36" s="12">
        <f t="shared" si="20"/>
        <v>0</v>
      </c>
      <c r="J36" s="12"/>
      <c r="K36" s="12">
        <f t="shared" si="10"/>
        <v>0</v>
      </c>
      <c r="L36" s="12">
        <f t="shared" si="10"/>
        <v>0</v>
      </c>
      <c r="M36" s="11">
        <f t="shared" si="18"/>
        <v>0</v>
      </c>
    </row>
    <row r="37" spans="1:15" s="7" customFormat="1" ht="11.25" hidden="1" x14ac:dyDescent="0.2">
      <c r="A37" s="200"/>
      <c r="B37" s="204"/>
      <c r="C37" s="205"/>
      <c r="D37" s="205"/>
      <c r="E37" s="206"/>
      <c r="F37" s="207"/>
      <c r="G37" s="8"/>
      <c r="H37" s="8"/>
      <c r="I37" s="8"/>
      <c r="J37" s="8"/>
      <c r="K37" s="8"/>
      <c r="L37" s="8"/>
      <c r="M37" s="9">
        <f t="shared" si="19"/>
        <v>0</v>
      </c>
    </row>
    <row r="38" spans="1:15" s="7" customFormat="1" ht="11.25" hidden="1" x14ac:dyDescent="0.2">
      <c r="A38" s="200"/>
      <c r="B38" s="201"/>
      <c r="C38" s="202"/>
      <c r="D38" s="202"/>
      <c r="E38" s="203"/>
      <c r="F38" s="207"/>
      <c r="G38" s="12">
        <f t="shared" ref="G38:L42" si="21">$F38*G39</f>
        <v>0</v>
      </c>
      <c r="H38" s="12">
        <f t="shared" si="21"/>
        <v>0</v>
      </c>
      <c r="I38" s="12">
        <f t="shared" si="21"/>
        <v>0</v>
      </c>
      <c r="J38" s="12"/>
      <c r="K38" s="12">
        <f t="shared" si="21"/>
        <v>0</v>
      </c>
      <c r="L38" s="12">
        <f t="shared" si="21"/>
        <v>0</v>
      </c>
      <c r="M38" s="11">
        <f t="shared" si="18"/>
        <v>0</v>
      </c>
    </row>
    <row r="39" spans="1:15" s="7" customFormat="1" ht="11.25" hidden="1" x14ac:dyDescent="0.2">
      <c r="A39" s="200"/>
      <c r="B39" s="204"/>
      <c r="C39" s="205"/>
      <c r="D39" s="205"/>
      <c r="E39" s="206"/>
      <c r="F39" s="207"/>
      <c r="G39" s="8"/>
      <c r="H39" s="8"/>
      <c r="I39" s="8"/>
      <c r="J39" s="8"/>
      <c r="K39" s="8"/>
      <c r="L39" s="8"/>
      <c r="M39" s="9">
        <f t="shared" si="19"/>
        <v>0</v>
      </c>
    </row>
    <row r="40" spans="1:15" s="7" customFormat="1" ht="11.25" hidden="1" x14ac:dyDescent="0.2">
      <c r="A40" s="200"/>
      <c r="B40" s="201"/>
      <c r="C40" s="202"/>
      <c r="D40" s="202"/>
      <c r="E40" s="203"/>
      <c r="F40" s="207"/>
      <c r="G40" s="12">
        <f t="shared" ref="G40:I40" si="22">$F40*G41</f>
        <v>0</v>
      </c>
      <c r="H40" s="12">
        <f t="shared" si="22"/>
        <v>0</v>
      </c>
      <c r="I40" s="12">
        <f t="shared" si="22"/>
        <v>0</v>
      </c>
      <c r="J40" s="12"/>
      <c r="K40" s="12">
        <f t="shared" si="21"/>
        <v>0</v>
      </c>
      <c r="L40" s="12">
        <f t="shared" ref="L40" si="23">$F40*L41</f>
        <v>0</v>
      </c>
      <c r="M40" s="11">
        <f t="shared" si="18"/>
        <v>0</v>
      </c>
    </row>
    <row r="41" spans="1:15" s="7" customFormat="1" ht="11.25" hidden="1" x14ac:dyDescent="0.2">
      <c r="A41" s="200"/>
      <c r="B41" s="204"/>
      <c r="C41" s="205"/>
      <c r="D41" s="205"/>
      <c r="E41" s="206"/>
      <c r="F41" s="207"/>
      <c r="G41" s="8"/>
      <c r="H41" s="8"/>
      <c r="I41" s="8"/>
      <c r="J41" s="8"/>
      <c r="K41" s="8"/>
      <c r="L41" s="8"/>
      <c r="M41" s="9">
        <f t="shared" si="19"/>
        <v>0</v>
      </c>
    </row>
    <row r="42" spans="1:15" s="7" customFormat="1" ht="11.25" hidden="1" x14ac:dyDescent="0.2">
      <c r="A42" s="200"/>
      <c r="B42" s="208"/>
      <c r="C42" s="202"/>
      <c r="D42" s="202"/>
      <c r="E42" s="203"/>
      <c r="F42" s="207"/>
      <c r="G42" s="12">
        <f>$F42*G43</f>
        <v>0</v>
      </c>
      <c r="H42" s="12">
        <f>$F42*H43</f>
        <v>0</v>
      </c>
      <c r="I42" s="12">
        <f>$F42*I43</f>
        <v>0</v>
      </c>
      <c r="J42" s="12"/>
      <c r="K42" s="12">
        <f t="shared" si="21"/>
        <v>0</v>
      </c>
      <c r="L42" s="12">
        <f t="shared" ref="L42" si="24">$F42*L43</f>
        <v>0</v>
      </c>
      <c r="M42" s="11">
        <f t="shared" si="18"/>
        <v>0</v>
      </c>
    </row>
    <row r="43" spans="1:15" s="7" customFormat="1" ht="11.25" hidden="1" x14ac:dyDescent="0.2">
      <c r="A43" s="200"/>
      <c r="B43" s="204"/>
      <c r="C43" s="205"/>
      <c r="D43" s="205"/>
      <c r="E43" s="206"/>
      <c r="F43" s="207"/>
      <c r="G43" s="8"/>
      <c r="H43" s="8"/>
      <c r="I43" s="8"/>
      <c r="J43" s="8"/>
      <c r="K43" s="8"/>
      <c r="L43" s="8"/>
      <c r="M43" s="9">
        <f t="shared" si="19"/>
        <v>0</v>
      </c>
    </row>
    <row r="44" spans="1:15" s="7" customFormat="1" ht="11.25" x14ac:dyDescent="0.2">
      <c r="A44" s="14"/>
      <c r="B44" s="209" t="s">
        <v>41</v>
      </c>
      <c r="C44" s="209"/>
      <c r="D44" s="209"/>
      <c r="E44" s="209"/>
      <c r="F44" s="15">
        <f>SUM(F6:F43)</f>
        <v>118887.71999999999</v>
      </c>
      <c r="G44" s="16">
        <f>G8+G10+G12+G14+G16+G42+G20+G22+G26+G28+G30+G32+G34+G36+G38+G40+G6+G18</f>
        <v>38272.284999999996</v>
      </c>
      <c r="H44" s="16">
        <f>H8+H10+H12+H14+H16+H42+H20+H22+H26+H28+H30+H32+H34+H36+H38+H40+H6+H18</f>
        <v>47532.945000000007</v>
      </c>
      <c r="I44" s="16">
        <f>I8+I10+I12+I14+I16+I42+I20+I22+I26+I28+I30+I32+I34+I36+I38+I40+I6+I18</f>
        <v>31253.89</v>
      </c>
      <c r="J44" s="16"/>
      <c r="K44" s="16">
        <f>K8+K10+K12+K14+K16+K42+K20+K22+K26+K28+K30+K32+K34+K36+K38+K40+K6+K18</f>
        <v>0</v>
      </c>
      <c r="L44" s="16">
        <f>L8+L10+L12+L14+L16+L42+L20+L22+L26+L28+L30+L32+L34+L36+L38+L40+L6+L18</f>
        <v>0</v>
      </c>
      <c r="M44" s="17">
        <f>M8+M10+M12+M14+M16+M42+M20+M24+M22+M26+M28+M30+M32+M34+M36+M38+M40+M6+M18</f>
        <v>118887.71999999999</v>
      </c>
    </row>
    <row r="45" spans="1:15" s="7" customFormat="1" ht="11.25" x14ac:dyDescent="0.2">
      <c r="A45" s="18"/>
      <c r="B45" s="210" t="s">
        <v>42</v>
      </c>
      <c r="C45" s="210"/>
      <c r="D45" s="210"/>
      <c r="E45" s="210"/>
      <c r="F45" s="12"/>
      <c r="G45" s="19">
        <f>G44</f>
        <v>38272.284999999996</v>
      </c>
      <c r="H45" s="19">
        <f>H44+G45</f>
        <v>85805.23000000001</v>
      </c>
      <c r="I45" s="19">
        <f t="shared" ref="I45:L45" si="25">I44+H45</f>
        <v>117059.12000000001</v>
      </c>
      <c r="J45" s="19"/>
      <c r="K45" s="19">
        <f t="shared" si="25"/>
        <v>0</v>
      </c>
      <c r="L45" s="19">
        <f t="shared" si="25"/>
        <v>0</v>
      </c>
      <c r="M45" s="13"/>
    </row>
    <row r="46" spans="1:15" s="7" customFormat="1" ht="11.25" x14ac:dyDescent="0.2">
      <c r="A46" s="18"/>
      <c r="B46" s="210" t="s">
        <v>43</v>
      </c>
      <c r="C46" s="210"/>
      <c r="D46" s="210"/>
      <c r="E46" s="210"/>
      <c r="F46" s="12"/>
      <c r="G46" s="20">
        <f t="shared" ref="G46:I47" si="26">(G44/$F$44)</f>
        <v>0.32191958092896389</v>
      </c>
      <c r="H46" s="21">
        <f t="shared" si="26"/>
        <v>0.39981374863610819</v>
      </c>
      <c r="I46" s="21">
        <f t="shared" si="26"/>
        <v>0.26288577154982873</v>
      </c>
      <c r="J46" s="20"/>
      <c r="K46" s="20">
        <f>(K44/$F$44)</f>
        <v>0</v>
      </c>
      <c r="L46" s="20">
        <f>(L44/$F$44)</f>
        <v>0</v>
      </c>
      <c r="M46" s="13"/>
    </row>
    <row r="47" spans="1:15" s="7" customFormat="1" ht="12" thickBot="1" x14ac:dyDescent="0.25">
      <c r="A47" s="22"/>
      <c r="B47" s="211" t="s">
        <v>44</v>
      </c>
      <c r="C47" s="211"/>
      <c r="D47" s="211"/>
      <c r="E47" s="211"/>
      <c r="F47" s="23"/>
      <c r="G47" s="24">
        <f t="shared" si="26"/>
        <v>0.32191958092896389</v>
      </c>
      <c r="H47" s="25">
        <f t="shared" si="26"/>
        <v>0.72173332956507219</v>
      </c>
      <c r="I47" s="25">
        <f t="shared" si="26"/>
        <v>0.98461910111490092</v>
      </c>
      <c r="J47" s="24"/>
      <c r="K47" s="24">
        <f>(K45/$F$44)</f>
        <v>0</v>
      </c>
      <c r="L47" s="24">
        <f>(L45/$F$44)</f>
        <v>0</v>
      </c>
      <c r="M47" s="26"/>
    </row>
    <row r="48" spans="1:15" s="7" customFormat="1" ht="12" thickTop="1" x14ac:dyDescent="0.2">
      <c r="A48" s="112" t="str">
        <f>'Planilia Atualizada'!A71:C71</f>
        <v>NOVORIZONTE-MG, 25/06/2020</v>
      </c>
      <c r="B48" s="27"/>
      <c r="C48" s="27"/>
      <c r="D48" s="27"/>
      <c r="E48" s="27"/>
      <c r="F48" s="109"/>
      <c r="G48" s="110"/>
      <c r="H48" s="111"/>
      <c r="I48" s="111"/>
      <c r="J48" s="110"/>
      <c r="K48" s="110"/>
      <c r="L48" s="110"/>
      <c r="M48" s="109"/>
    </row>
    <row r="49" spans="1:13" s="7" customFormat="1" ht="11.25" x14ac:dyDescent="0.2">
      <c r="A49" s="28"/>
      <c r="B49" s="27"/>
      <c r="C49" s="27"/>
      <c r="D49" s="27"/>
      <c r="E49" s="27"/>
      <c r="F49" s="109"/>
      <c r="G49" s="110"/>
      <c r="H49" s="111"/>
      <c r="I49" s="111"/>
      <c r="J49" s="110"/>
      <c r="K49" s="110"/>
      <c r="L49" s="110"/>
      <c r="M49" s="109"/>
    </row>
    <row r="50" spans="1:13" s="7" customFormat="1" ht="11.25" x14ac:dyDescent="0.2">
      <c r="B50" s="27"/>
      <c r="C50" s="27"/>
      <c r="D50" s="27"/>
      <c r="E50" s="27"/>
      <c r="F50" s="28"/>
      <c r="G50" s="28"/>
      <c r="H50" s="28"/>
      <c r="I50" s="28"/>
      <c r="J50" s="28"/>
      <c r="K50" s="28"/>
      <c r="L50" s="28"/>
      <c r="M50" s="28"/>
    </row>
    <row r="51" spans="1:13" s="7" customFormat="1" ht="11.25" x14ac:dyDescent="0.2">
      <c r="A51" s="108" t="str">
        <f>'Planilia Atualizada'!A73:H73</f>
        <v>VINÍCIUS MODESTO COSTA MATOS - CREA: MG219.180/D                                ARLEY COSTA MENDES - PREFEITO MUNICIPAL</v>
      </c>
      <c r="B51" s="27"/>
      <c r="C51" s="27"/>
      <c r="D51" s="27"/>
      <c r="E51" s="27"/>
      <c r="F51" s="28"/>
      <c r="G51" s="28"/>
      <c r="H51" s="28"/>
      <c r="I51" s="28"/>
      <c r="J51" s="28"/>
      <c r="K51" s="28"/>
      <c r="L51" s="28"/>
      <c r="M51" s="28"/>
    </row>
    <row r="52" spans="1:13" s="7" customFormat="1" ht="11.25" x14ac:dyDescent="0.2">
      <c r="B52" s="27"/>
      <c r="C52" s="27"/>
      <c r="D52" s="27"/>
      <c r="E52" s="27"/>
      <c r="J52" s="28"/>
      <c r="K52" s="28"/>
      <c r="L52" s="28"/>
      <c r="M52" s="28"/>
    </row>
    <row r="53" spans="1:13" s="7" customFormat="1" ht="11.25" x14ac:dyDescent="0.2">
      <c r="A53" s="212"/>
      <c r="B53" s="212"/>
      <c r="C53" s="212"/>
      <c r="D53" s="212"/>
      <c r="E53" s="212"/>
      <c r="F53" s="212"/>
      <c r="G53" s="212"/>
      <c r="H53" s="212"/>
      <c r="I53" s="212"/>
      <c r="J53" s="212"/>
      <c r="K53" s="212"/>
      <c r="L53" s="212"/>
      <c r="M53" s="212"/>
    </row>
    <row r="54" spans="1:13" s="7" customFormat="1" ht="11.25" x14ac:dyDescent="0.2">
      <c r="A54" s="199"/>
      <c r="B54" s="199"/>
      <c r="C54" s="199"/>
      <c r="D54" s="199"/>
      <c r="E54" s="199"/>
      <c r="F54" s="199"/>
      <c r="G54" s="199"/>
      <c r="H54" s="199"/>
      <c r="I54" s="199"/>
      <c r="J54" s="199"/>
      <c r="K54" s="199"/>
      <c r="L54" s="199"/>
      <c r="M54" s="199"/>
    </row>
    <row r="55" spans="1:13" s="7" customFormat="1" ht="11.25" x14ac:dyDescent="0.2">
      <c r="B55" s="27"/>
      <c r="C55" s="27"/>
      <c r="D55" s="27"/>
      <c r="E55" s="27"/>
      <c r="F55" s="28"/>
      <c r="G55" s="28"/>
      <c r="H55" s="28"/>
      <c r="I55" s="28"/>
      <c r="J55" s="28"/>
      <c r="K55" s="28"/>
      <c r="L55" s="28"/>
      <c r="M55" s="28"/>
    </row>
    <row r="56" spans="1:13" s="7" customFormat="1" ht="11.25" x14ac:dyDescent="0.2">
      <c r="B56" s="27"/>
      <c r="C56" s="27"/>
      <c r="D56" s="27"/>
      <c r="E56" s="27"/>
      <c r="F56" s="28"/>
      <c r="G56" s="28"/>
      <c r="H56" s="28"/>
      <c r="I56" s="28"/>
      <c r="J56" s="28"/>
      <c r="K56" s="28"/>
      <c r="L56" s="28"/>
      <c r="M56" s="28"/>
    </row>
    <row r="57" spans="1:13" s="7" customFormat="1" ht="11.25" x14ac:dyDescent="0.2">
      <c r="B57" s="27"/>
      <c r="C57" s="27"/>
      <c r="D57" s="27"/>
      <c r="E57" s="27"/>
      <c r="F57" s="28"/>
      <c r="G57" s="28"/>
      <c r="H57" s="28"/>
      <c r="I57" s="28"/>
      <c r="J57" s="28"/>
      <c r="K57" s="28"/>
      <c r="L57" s="28"/>
      <c r="M57" s="28"/>
    </row>
  </sheetData>
  <mergeCells count="66">
    <mergeCell ref="B24:E25"/>
    <mergeCell ref="A24:A25"/>
    <mergeCell ref="F24:F25"/>
    <mergeCell ref="A1:M2"/>
    <mergeCell ref="G3:L4"/>
    <mergeCell ref="B5:E5"/>
    <mergeCell ref="A6:A7"/>
    <mergeCell ref="B6:E7"/>
    <mergeCell ref="F6:F7"/>
    <mergeCell ref="A8:A9"/>
    <mergeCell ref="B8:E9"/>
    <mergeCell ref="F8:F9"/>
    <mergeCell ref="A10:A11"/>
    <mergeCell ref="B10:E11"/>
    <mergeCell ref="F10:F11"/>
    <mergeCell ref="A12:A13"/>
    <mergeCell ref="B12:E13"/>
    <mergeCell ref="F12:F13"/>
    <mergeCell ref="A14:A15"/>
    <mergeCell ref="B14:E15"/>
    <mergeCell ref="F14:F15"/>
    <mergeCell ref="A16:A17"/>
    <mergeCell ref="B16:E17"/>
    <mergeCell ref="F16:F17"/>
    <mergeCell ref="A18:A19"/>
    <mergeCell ref="B18:E19"/>
    <mergeCell ref="F18:F19"/>
    <mergeCell ref="A20:A21"/>
    <mergeCell ref="B20:E21"/>
    <mergeCell ref="F20:F21"/>
    <mergeCell ref="A22:A23"/>
    <mergeCell ref="B22:E23"/>
    <mergeCell ref="F22:F23"/>
    <mergeCell ref="A26:A27"/>
    <mergeCell ref="B26:E27"/>
    <mergeCell ref="F26:F27"/>
    <mergeCell ref="A28:A29"/>
    <mergeCell ref="B28:E29"/>
    <mergeCell ref="F28:F29"/>
    <mergeCell ref="A34:A35"/>
    <mergeCell ref="B34:E35"/>
    <mergeCell ref="F34:F35"/>
    <mergeCell ref="A30:A31"/>
    <mergeCell ref="B30:E31"/>
    <mergeCell ref="F30:F31"/>
    <mergeCell ref="A32:A33"/>
    <mergeCell ref="B32:E33"/>
    <mergeCell ref="F32:F33"/>
    <mergeCell ref="A36:A37"/>
    <mergeCell ref="B36:E37"/>
    <mergeCell ref="F36:F37"/>
    <mergeCell ref="A38:A39"/>
    <mergeCell ref="B38:E39"/>
    <mergeCell ref="F38:F39"/>
    <mergeCell ref="A54:M54"/>
    <mergeCell ref="A40:A41"/>
    <mergeCell ref="B40:E41"/>
    <mergeCell ref="F40:F41"/>
    <mergeCell ref="A42:A43"/>
    <mergeCell ref="B42:E43"/>
    <mergeCell ref="F42:F43"/>
    <mergeCell ref="B44:E44"/>
    <mergeCell ref="B45:E45"/>
    <mergeCell ref="B46:E46"/>
    <mergeCell ref="B47:E47"/>
    <mergeCell ref="A53:M53"/>
  </mergeCells>
  <printOptions horizontalCentered="1"/>
  <pageMargins left="0.51181102362204722" right="0.51181102362204722" top="0.78740157480314965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Planilia Atualizada</vt:lpstr>
      <vt:lpstr>MEMÓRIA DE CÁLCULO</vt:lpstr>
      <vt:lpstr>CRONOG ATUAL</vt:lpstr>
      <vt:lpstr>'CRONOG ATUAL'!Area_de_impressao</vt:lpstr>
      <vt:lpstr>'Planilia Atualizada'!Area_de_impressao</vt:lpstr>
      <vt:lpstr>'Planilia Atualizada'!Titulos_de_impressao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Aron</dc:creator>
  <cp:lastModifiedBy>Cledson Pereira</cp:lastModifiedBy>
  <cp:lastPrinted>2020-07-16T04:54:49Z</cp:lastPrinted>
  <dcterms:created xsi:type="dcterms:W3CDTF">2012-04-02T16:39:47Z</dcterms:created>
  <dcterms:modified xsi:type="dcterms:W3CDTF">2020-08-03T13:29:36Z</dcterms:modified>
</cp:coreProperties>
</file>